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ssessments\2024\"/>
    </mc:Choice>
  </mc:AlternateContent>
  <xr:revisionPtr revIDLastSave="0" documentId="13_ncr:1_{71BE7802-D41B-451A-8A8A-38C0FA6C4F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2020" sheetId="6" r:id="rId5"/>
    <sheet name="2019" sheetId="4" r:id="rId6"/>
    <sheet name="2018" sheetId="5" r:id="rId7"/>
    <sheet name="2017" sheetId="2" r:id="rId8"/>
  </sheets>
  <definedNames>
    <definedName name="_xlnm.Print_Area" localSheetId="5">'2019'!$A$1:$E$36</definedName>
    <definedName name="_xlnm.Print_Area" localSheetId="4">'2020'!$A$1:$E$33</definedName>
    <definedName name="_xlnm.Print_Area" localSheetId="3">'2021'!$A$1:$E$54</definedName>
    <definedName name="_xlnm.Print_Area" localSheetId="2">'2022'!$A$1:$E$33</definedName>
    <definedName name="_xlnm.Print_Area" localSheetId="1">'2023'!$A$1:$E$34</definedName>
    <definedName name="_xlnm.Print_Area" localSheetId="0">'2024'!$A$1:$E$38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0" l="1"/>
  <c r="E34" i="10" l="1"/>
  <c r="E10" i="10"/>
  <c r="E33" i="10" l="1"/>
  <c r="D32" i="10"/>
  <c r="E32" i="10" s="1"/>
  <c r="D31" i="10"/>
  <c r="E31" i="10" s="1"/>
  <c r="D30" i="10"/>
  <c r="E30" i="10" s="1"/>
  <c r="D29" i="10"/>
  <c r="E29" i="10" s="1"/>
  <c r="D28" i="10"/>
  <c r="E28" i="10" s="1"/>
  <c r="D27" i="10"/>
  <c r="E27" i="10" s="1"/>
  <c r="D26" i="10"/>
  <c r="E26" i="10" s="1"/>
  <c r="D25" i="10"/>
  <c r="E25" i="10" s="1"/>
  <c r="D24" i="10"/>
  <c r="E24" i="10" s="1"/>
  <c r="D23" i="10"/>
  <c r="E23" i="10" s="1"/>
  <c r="D22" i="10"/>
  <c r="E22" i="10" s="1"/>
  <c r="D21" i="10"/>
  <c r="E21" i="10" s="1"/>
  <c r="D20" i="10"/>
  <c r="E20" i="10" s="1"/>
  <c r="D19" i="10"/>
  <c r="E18" i="10"/>
  <c r="E17" i="10"/>
  <c r="E16" i="10"/>
  <c r="E7" i="10"/>
  <c r="D5" i="10"/>
  <c r="C5" i="10"/>
  <c r="E3" i="10"/>
  <c r="D32" i="9"/>
  <c r="E30" i="9"/>
  <c r="D29" i="9"/>
  <c r="E29" i="9" s="1"/>
  <c r="D28" i="9"/>
  <c r="E28" i="9" s="1"/>
  <c r="D27" i="9"/>
  <c r="E27" i="9" s="1"/>
  <c r="D26" i="9"/>
  <c r="E26" i="9" s="1"/>
  <c r="D25" i="9"/>
  <c r="E25" i="9" s="1"/>
  <c r="E24" i="9"/>
  <c r="D24" i="9"/>
  <c r="D23" i="9"/>
  <c r="E23" i="9" s="1"/>
  <c r="D22" i="9"/>
  <c r="E22" i="9" s="1"/>
  <c r="D21" i="9"/>
  <c r="E21" i="9" s="1"/>
  <c r="D20" i="9"/>
  <c r="E20" i="9" s="1"/>
  <c r="D19" i="9"/>
  <c r="E19" i="9" s="1"/>
  <c r="D18" i="9"/>
  <c r="E18" i="9" s="1"/>
  <c r="D17" i="9"/>
  <c r="E17" i="9" s="1"/>
  <c r="E16" i="9"/>
  <c r="D16" i="9"/>
  <c r="E15" i="9"/>
  <c r="E14" i="9"/>
  <c r="E13" i="9"/>
  <c r="E7" i="9"/>
  <c r="D5" i="9"/>
  <c r="C5" i="9"/>
  <c r="E3" i="9"/>
  <c r="D29" i="8"/>
  <c r="D28" i="8"/>
  <c r="E28" i="8" s="1"/>
  <c r="D24" i="8"/>
  <c r="D18" i="8"/>
  <c r="E29" i="8"/>
  <c r="D27" i="8"/>
  <c r="E27" i="8" s="1"/>
  <c r="E19" i="10" l="1"/>
  <c r="D5" i="8"/>
  <c r="C5" i="8"/>
  <c r="D26" i="8"/>
  <c r="E26" i="8" s="1"/>
  <c r="D25" i="8"/>
  <c r="E25" i="8" s="1"/>
  <c r="E24" i="8"/>
  <c r="D23" i="8"/>
  <c r="E23" i="8" s="1"/>
  <c r="D22" i="8"/>
  <c r="E22" i="8" s="1"/>
  <c r="D21" i="8"/>
  <c r="E21" i="8" s="1"/>
  <c r="D20" i="8"/>
  <c r="E20" i="8" s="1"/>
  <c r="D19" i="8"/>
  <c r="E19" i="8" s="1"/>
  <c r="E18" i="8"/>
  <c r="D17" i="8"/>
  <c r="E17" i="8" s="1"/>
  <c r="D16" i="8"/>
  <c r="E15" i="8"/>
  <c r="E14" i="8"/>
  <c r="E13" i="8"/>
  <c r="E7" i="8"/>
  <c r="E3" i="8"/>
  <c r="D27" i="7"/>
  <c r="C27" i="7"/>
  <c r="E12" i="7"/>
  <c r="D8" i="7"/>
  <c r="D10" i="7" s="1"/>
  <c r="C8" i="7"/>
  <c r="C10" i="7" s="1"/>
  <c r="D31" i="8" l="1"/>
  <c r="E16" i="8"/>
  <c r="E50" i="7"/>
  <c r="E20" i="7"/>
  <c r="E21" i="7"/>
  <c r="E22" i="7"/>
  <c r="E23" i="7"/>
  <c r="E24" i="7"/>
  <c r="E25" i="7"/>
  <c r="E6" i="7"/>
  <c r="E5" i="7"/>
  <c r="E4" i="7"/>
  <c r="E3" i="7"/>
  <c r="E8" i="7" l="1"/>
  <c r="L13" i="7" s="1"/>
  <c r="E15" i="7"/>
  <c r="E19" i="7"/>
  <c r="E18" i="7"/>
  <c r="E27" i="7" s="1"/>
  <c r="D49" i="7"/>
  <c r="E49" i="7" s="1"/>
  <c r="D48" i="7"/>
  <c r="E48" i="7" s="1"/>
  <c r="D47" i="7"/>
  <c r="E47" i="7" s="1"/>
  <c r="D46" i="7"/>
  <c r="E46" i="7" s="1"/>
  <c r="D45" i="7"/>
  <c r="E45" i="7" s="1"/>
  <c r="D44" i="7"/>
  <c r="E44" i="7" s="1"/>
  <c r="D43" i="7"/>
  <c r="E43" i="7" s="1"/>
  <c r="D42" i="7"/>
  <c r="E42" i="7" s="1"/>
  <c r="D41" i="7"/>
  <c r="E41" i="7" s="1"/>
  <c r="D40" i="7"/>
  <c r="E40" i="7" s="1"/>
  <c r="D39" i="7"/>
  <c r="E39" i="7" s="1"/>
  <c r="D38" i="7"/>
  <c r="E38" i="7" s="1"/>
  <c r="D37" i="7"/>
  <c r="E37" i="7" s="1"/>
  <c r="D36" i="7"/>
  <c r="E35" i="7"/>
  <c r="E34" i="7"/>
  <c r="E33" i="7"/>
  <c r="D28" i="6"/>
  <c r="D29" i="6"/>
  <c r="D21" i="6"/>
  <c r="D24" i="4"/>
  <c r="L14" i="7" l="1"/>
  <c r="D52" i="7"/>
  <c r="L12" i="7" s="1"/>
  <c r="L15" i="7" s="1"/>
  <c r="E36" i="7"/>
  <c r="E29" i="6"/>
  <c r="E28" i="6"/>
  <c r="D27" i="6"/>
  <c r="E27" i="6" s="1"/>
  <c r="D26" i="6"/>
  <c r="E26" i="6" s="1"/>
  <c r="D25" i="6"/>
  <c r="E25" i="6" s="1"/>
  <c r="D24" i="6"/>
  <c r="E24" i="6" s="1"/>
  <c r="D23" i="6"/>
  <c r="E23" i="6" s="1"/>
  <c r="D22" i="6"/>
  <c r="E22" i="6" s="1"/>
  <c r="E21" i="6"/>
  <c r="D20" i="6"/>
  <c r="E20" i="6" s="1"/>
  <c r="D19" i="6"/>
  <c r="E19" i="6" s="1"/>
  <c r="D18" i="6"/>
  <c r="E18" i="6" s="1"/>
  <c r="D17" i="6"/>
  <c r="E17" i="6" s="1"/>
  <c r="D16" i="6"/>
  <c r="E15" i="6"/>
  <c r="E14" i="6"/>
  <c r="E13" i="6"/>
  <c r="E5" i="6"/>
  <c r="E4" i="6"/>
  <c r="D31" i="6" l="1"/>
  <c r="E16" i="6"/>
  <c r="D32" i="4"/>
  <c r="E32" i="4" s="1"/>
  <c r="D31" i="4"/>
  <c r="E31" i="4" s="1"/>
  <c r="D30" i="4"/>
  <c r="D29" i="4"/>
  <c r="E29" i="4"/>
  <c r="D28" i="4"/>
  <c r="E28" i="4" s="1"/>
  <c r="D27" i="4"/>
  <c r="E27" i="4" s="1"/>
  <c r="D25" i="4"/>
  <c r="E25" i="4" s="1"/>
  <c r="D26" i="4"/>
  <c r="E26" i="4" s="1"/>
  <c r="D22" i="4"/>
  <c r="E22" i="4" s="1"/>
  <c r="D21" i="4"/>
  <c r="E21" i="4" s="1"/>
  <c r="D20" i="4"/>
  <c r="E20" i="4" s="1"/>
  <c r="D19" i="4"/>
  <c r="D34" i="4" s="1"/>
  <c r="E30" i="4"/>
  <c r="E24" i="4"/>
  <c r="D23" i="4"/>
  <c r="E23" i="4" s="1"/>
  <c r="E18" i="4"/>
  <c r="E17" i="4"/>
  <c r="E16" i="4"/>
  <c r="E5" i="4"/>
  <c r="E4" i="4"/>
  <c r="E8" i="4"/>
  <c r="E34" i="5"/>
  <c r="E33" i="5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E26" i="5"/>
  <c r="E25" i="5"/>
  <c r="D24" i="5"/>
  <c r="E24" i="5" s="1"/>
  <c r="D23" i="5"/>
  <c r="E22" i="5"/>
  <c r="E21" i="5"/>
  <c r="E20" i="5"/>
  <c r="E15" i="5"/>
  <c r="E11" i="5"/>
  <c r="D11" i="5"/>
  <c r="D13" i="5" s="1"/>
  <c r="C11" i="5"/>
  <c r="C13" i="5" s="1"/>
  <c r="D36" i="5" l="1"/>
  <c r="E23" i="5"/>
  <c r="E19" i="4"/>
  <c r="D27" i="2"/>
  <c r="D22" i="2"/>
  <c r="E28" i="2"/>
  <c r="E32" i="2"/>
  <c r="C8" i="2" l="1"/>
  <c r="E10" i="2" l="1"/>
  <c r="E6" i="2"/>
  <c r="D6" i="2"/>
  <c r="D8" i="2" s="1"/>
  <c r="D26" i="2"/>
  <c r="E26" i="2" s="1"/>
  <c r="D30" i="2"/>
  <c r="E30" i="2" s="1"/>
  <c r="D29" i="2"/>
  <c r="E29" i="2" s="1"/>
  <c r="E31" i="2"/>
  <c r="D23" i="2"/>
  <c r="E22" i="2"/>
  <c r="E25" i="2"/>
  <c r="E24" i="2"/>
  <c r="E21" i="2"/>
  <c r="E20" i="2"/>
  <c r="E19" i="2"/>
  <c r="E23" i="2" l="1"/>
  <c r="D34" i="2"/>
  <c r="E27" i="2"/>
</calcChain>
</file>

<file path=xl/sharedStrings.xml><?xml version="1.0" encoding="utf-8"?>
<sst xmlns="http://schemas.openxmlformats.org/spreadsheetml/2006/main" count="292" uniqueCount="67">
  <si>
    <t>Auto</t>
  </si>
  <si>
    <t>Other</t>
  </si>
  <si>
    <t>Year</t>
  </si>
  <si>
    <t>Premium</t>
  </si>
  <si>
    <t>Assessed</t>
  </si>
  <si>
    <t>Percentage</t>
  </si>
  <si>
    <t>Account</t>
  </si>
  <si>
    <t>Total</t>
  </si>
  <si>
    <t>Total Assessment</t>
  </si>
  <si>
    <t>Uniform Percentage</t>
  </si>
  <si>
    <t>Base Yr</t>
  </si>
  <si>
    <t>MIIX</t>
  </si>
  <si>
    <t>2017 Assessment</t>
  </si>
  <si>
    <t>IFA</t>
  </si>
  <si>
    <t>Castlepoint</t>
  </si>
  <si>
    <t>Assessment Authorized, but Not Called - Not Reflected of 2017 Assessment &amp; Reduction</t>
  </si>
  <si>
    <t>2016 PA Net Written Premiums</t>
  </si>
  <si>
    <t>2017 Assessment Reduction</t>
  </si>
  <si>
    <t>Link to 2017 Assessment Letter</t>
  </si>
  <si>
    <t>2018 Assessment</t>
  </si>
  <si>
    <t>State Auto</t>
  </si>
  <si>
    <t>Atlantic Mutual</t>
  </si>
  <si>
    <t>Ullico</t>
  </si>
  <si>
    <t>Gramercy</t>
  </si>
  <si>
    <t>Lincoln General</t>
  </si>
  <si>
    <t>Healthcare Providers</t>
  </si>
  <si>
    <t>Access</t>
  </si>
  <si>
    <t>2017 PA Net Written Premiums</t>
  </si>
  <si>
    <t>Assessment Authorized, but Not Called - Not Reflected of 2018 Assessment</t>
  </si>
  <si>
    <t>Link to 2018 Assessment Letter</t>
  </si>
  <si>
    <t>2019 Assessment Reduction</t>
  </si>
  <si>
    <t>2019 Assessment</t>
  </si>
  <si>
    <t>Midland Insurance Company</t>
  </si>
  <si>
    <t>2019 Assessment Billing</t>
  </si>
  <si>
    <t>Access Insurance</t>
  </si>
  <si>
    <t>Link to 2019 Assessment Letter</t>
  </si>
  <si>
    <t>Assessments Authorized, but Not Called - Not Reflected of 2019 Billing &amp; Reduction</t>
  </si>
  <si>
    <t>2020 Assessment</t>
  </si>
  <si>
    <t>American Country Insurance</t>
  </si>
  <si>
    <t>American Service Insurance</t>
  </si>
  <si>
    <t>Assessments Authorized, but Not Called - Not Reflected of 2020 Billing &amp; Reduction</t>
  </si>
  <si>
    <t>Link to 2020 Assessment Letter</t>
  </si>
  <si>
    <t>2021 Assessment</t>
  </si>
  <si>
    <t>Bedivere Insurance Company</t>
  </si>
  <si>
    <t>2021 Assessment Reduction</t>
  </si>
  <si>
    <t>Home Insurance Company</t>
  </si>
  <si>
    <t>Assessments Authorized, but Not Called - Not Reflected of 2021 Assessment, Billing &amp; Reduction</t>
  </si>
  <si>
    <t>Link to 2021 Assessment Letter</t>
  </si>
  <si>
    <t>2021 Assessment Billing</t>
  </si>
  <si>
    <t>2020 PA Net Written Premiums</t>
  </si>
  <si>
    <t>Highlands Insurance</t>
  </si>
  <si>
    <t>2021 PA Net Written Premiums</t>
  </si>
  <si>
    <t>2022 Assessment</t>
  </si>
  <si>
    <t>Link to 2022 Assessment Letter</t>
  </si>
  <si>
    <t>Assessments Authorized, but Not Called - Not Reflected of 2022 Assessment</t>
  </si>
  <si>
    <t>2023 Assessment</t>
  </si>
  <si>
    <t>Mutual Aid eXchange</t>
  </si>
  <si>
    <t>2022 PA Net Written Premiums</t>
  </si>
  <si>
    <t>Assessments Authorized, but Not Called - Not Reflected of 2023 Assessment</t>
  </si>
  <si>
    <t>Link to 2023 Assessment Letter</t>
  </si>
  <si>
    <t>Arrowood Indeminty</t>
  </si>
  <si>
    <t>2023 PA Net Written Premiums</t>
  </si>
  <si>
    <t>2024 Assessment</t>
  </si>
  <si>
    <t>2024 Assessment Reduction</t>
  </si>
  <si>
    <t>Assessments Authorized, but Not Called - Not Reflected of 2024 Assessment</t>
  </si>
  <si>
    <t>Link to 2024 Assessment Letter</t>
  </si>
  <si>
    <t>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</si>
</sst>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Verdana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2" borderId="0" xfId="0" applyFill="1" applyAlignment="1">
      <alignment horizontal="center"/>
    </xf>
    <xf numFmtId="0" fontId="0" fillId="2" borderId="0" xfId="0" applyFill="1"/>
    <xf numFmtId="164" fontId="0" fillId="0" borderId="0" xfId="0" applyNumberFormat="1"/>
    <xf numFmtId="165" fontId="0" fillId="0" borderId="0" xfId="2" applyNumberFormat="1" applyFont="1"/>
    <xf numFmtId="0" fontId="2" fillId="0" borderId="0" xfId="0" applyFont="1"/>
    <xf numFmtId="164" fontId="0" fillId="0" borderId="0" xfId="1" applyNumberFormat="1" applyFont="1" applyBorder="1"/>
    <xf numFmtId="0" fontId="2" fillId="2" borderId="0" xfId="0" applyFont="1" applyFill="1"/>
    <xf numFmtId="164" fontId="0" fillId="0" borderId="1" xfId="0" applyNumberFormat="1" applyBorder="1"/>
    <xf numFmtId="164" fontId="0" fillId="0" borderId="2" xfId="1" applyNumberFormat="1" applyFont="1" applyBorder="1"/>
    <xf numFmtId="0" fontId="3" fillId="4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6" fontId="3" fillId="4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4" fillId="0" borderId="0" xfId="0" applyFont="1" applyAlignment="1">
      <alignment horizontal="center"/>
    </xf>
    <xf numFmtId="0" fontId="3" fillId="4" borderId="0" xfId="0" applyFont="1" applyFill="1" applyAlignment="1">
      <alignment horizontal="right" wrapText="1"/>
    </xf>
    <xf numFmtId="165" fontId="3" fillId="4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164" fontId="3" fillId="4" borderId="0" xfId="1" applyNumberFormat="1" applyFont="1" applyFill="1" applyAlignment="1">
      <alignment horizontal="left" wrapText="1"/>
    </xf>
    <xf numFmtId="164" fontId="3" fillId="3" borderId="0" xfId="1" applyNumberFormat="1" applyFont="1" applyFill="1" applyAlignment="1">
      <alignment horizontal="left" wrapText="1"/>
    </xf>
    <xf numFmtId="164" fontId="3" fillId="3" borderId="0" xfId="1" applyNumberFormat="1" applyFont="1" applyFill="1" applyAlignment="1">
      <alignment horizontal="right" wrapText="1"/>
    </xf>
    <xf numFmtId="164" fontId="3" fillId="4" borderId="0" xfId="1" applyNumberFormat="1" applyFont="1" applyFill="1" applyAlignment="1">
      <alignment horizontal="right" wrapText="1"/>
    </xf>
    <xf numFmtId="164" fontId="1" fillId="0" borderId="0" xfId="1" applyNumberFormat="1" applyFont="1" applyAlignment="1">
      <alignment horizontal="right"/>
    </xf>
    <xf numFmtId="164" fontId="0" fillId="0" borderId="1" xfId="1" applyNumberFormat="1" applyFont="1" applyFill="1" applyBorder="1"/>
    <xf numFmtId="166" fontId="0" fillId="0" borderId="0" xfId="3" applyNumberFormat="1" applyFont="1"/>
    <xf numFmtId="166" fontId="4" fillId="0" borderId="0" xfId="3" applyNumberFormat="1" applyFont="1" applyAlignment="1">
      <alignment horizontal="center"/>
    </xf>
    <xf numFmtId="166" fontId="0" fillId="0" borderId="0" xfId="3" applyNumberFormat="1" applyFont="1" applyBorder="1"/>
    <xf numFmtId="164" fontId="0" fillId="0" borderId="3" xfId="1" applyNumberFormat="1" applyFont="1" applyBorder="1"/>
    <xf numFmtId="164" fontId="0" fillId="0" borderId="0" xfId="1" applyNumberFormat="1" applyFont="1" applyFill="1"/>
    <xf numFmtId="166" fontId="0" fillId="0" borderId="0" xfId="3" applyNumberFormat="1" applyFont="1" applyFill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5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164" fontId="0" fillId="0" borderId="0" xfId="1" applyNumberFormat="1" applyFont="1" applyFill="1" applyBorder="1"/>
    <xf numFmtId="166" fontId="0" fillId="0" borderId="2" xfId="3" applyNumberFormat="1" applyFont="1" applyFill="1" applyBorder="1"/>
    <xf numFmtId="166" fontId="0" fillId="0" borderId="2" xfId="3" applyNumberFormat="1" applyFont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C606D-026C-4E6E-BBD0-C92EE0C4C598}">
  <dimension ref="A1:G39"/>
  <sheetViews>
    <sheetView tabSelected="1" zoomScaleNormal="100" workbookViewId="0"/>
  </sheetViews>
  <sheetFormatPr defaultRowHeight="15" x14ac:dyDescent="0.25"/>
  <cols>
    <col min="1" max="1" width="26.28515625" customWidth="1"/>
    <col min="2" max="2" width="9.5703125" style="1" bestFit="1" customWidth="1"/>
    <col min="3" max="3" width="18" bestFit="1" customWidth="1"/>
    <col min="4" max="4" width="16.5703125" bestFit="1" customWidth="1"/>
    <col min="5" max="5" width="18.5703125" customWidth="1"/>
    <col min="6" max="6" width="4.7109375" customWidth="1"/>
    <col min="7" max="7" width="12.5703125" bestFit="1" customWidth="1"/>
  </cols>
  <sheetData>
    <row r="1" spans="1:6" x14ac:dyDescent="0.25">
      <c r="A1" s="8" t="s">
        <v>62</v>
      </c>
    </row>
    <row r="2" spans="1:6" x14ac:dyDescent="0.25">
      <c r="A2" s="8"/>
      <c r="B2" s="18" t="s">
        <v>10</v>
      </c>
      <c r="C2" s="18" t="s">
        <v>0</v>
      </c>
      <c r="D2" s="18" t="s">
        <v>1</v>
      </c>
      <c r="E2" s="18" t="s">
        <v>7</v>
      </c>
    </row>
    <row r="3" spans="1:6" x14ac:dyDescent="0.25">
      <c r="A3" t="s">
        <v>60</v>
      </c>
      <c r="B3" s="1">
        <v>2023</v>
      </c>
      <c r="C3" s="33">
        <v>400000</v>
      </c>
      <c r="D3" s="33">
        <v>7000000</v>
      </c>
      <c r="E3" s="33">
        <f>SUM(C3:D3)</f>
        <v>7400000</v>
      </c>
    </row>
    <row r="4" spans="1:6" x14ac:dyDescent="0.25">
      <c r="A4" s="36"/>
      <c r="B4" s="35"/>
      <c r="C4" s="35"/>
      <c r="D4" s="35"/>
      <c r="E4" s="35"/>
    </row>
    <row r="5" spans="1:6" x14ac:dyDescent="0.25">
      <c r="A5" s="35" t="s">
        <v>9</v>
      </c>
      <c r="B5" s="35"/>
      <c r="C5" s="37">
        <f>C3/C7</f>
        <v>3.0972378538117526E-5</v>
      </c>
      <c r="D5" s="37">
        <f>D3/D7</f>
        <v>5.5747278831671436E-4</v>
      </c>
      <c r="E5" s="38"/>
    </row>
    <row r="6" spans="1:6" x14ac:dyDescent="0.25">
      <c r="A6" s="36"/>
      <c r="B6" s="35"/>
      <c r="C6" s="38"/>
      <c r="D6" s="38"/>
      <c r="E6" s="38"/>
    </row>
    <row r="7" spans="1:6" x14ac:dyDescent="0.25">
      <c r="A7" s="39" t="s">
        <v>61</v>
      </c>
      <c r="B7" s="35"/>
      <c r="C7" s="40">
        <v>12914733026</v>
      </c>
      <c r="D7" s="40">
        <v>12556666705</v>
      </c>
      <c r="E7" s="40">
        <f>SUM(C7:D7)</f>
        <v>25471399731</v>
      </c>
    </row>
    <row r="9" spans="1:6" x14ac:dyDescent="0.25">
      <c r="A9" s="8" t="s">
        <v>63</v>
      </c>
      <c r="B9" s="18"/>
      <c r="C9" s="30"/>
      <c r="D9" s="30"/>
      <c r="E9" s="30"/>
    </row>
    <row r="10" spans="1:6" x14ac:dyDescent="0.25">
      <c r="A10" t="s">
        <v>25</v>
      </c>
      <c r="B10" s="1">
        <v>2020</v>
      </c>
      <c r="C10" s="29">
        <v>0</v>
      </c>
      <c r="D10" s="29">
        <v>5000000</v>
      </c>
      <c r="E10" s="29">
        <f>SUM(C10:D10)</f>
        <v>5000000</v>
      </c>
    </row>
    <row r="14" spans="1:6" x14ac:dyDescent="0.25">
      <c r="A14" s="8" t="s">
        <v>64</v>
      </c>
    </row>
    <row r="15" spans="1:6" x14ac:dyDescent="0.25">
      <c r="A15" s="8" t="s">
        <v>6</v>
      </c>
      <c r="B15" s="2" t="s">
        <v>66</v>
      </c>
      <c r="C15" s="2" t="s">
        <v>3</v>
      </c>
      <c r="D15" s="2" t="s">
        <v>4</v>
      </c>
      <c r="E15" s="2" t="s">
        <v>5</v>
      </c>
      <c r="F15" s="2"/>
    </row>
    <row r="16" spans="1:6" x14ac:dyDescent="0.25">
      <c r="A16" t="s">
        <v>1</v>
      </c>
      <c r="B16" s="1">
        <v>1984</v>
      </c>
      <c r="C16" s="3">
        <v>1913262673</v>
      </c>
      <c r="D16" s="3">
        <v>700000</v>
      </c>
      <c r="E16" s="7">
        <f>D16/C16</f>
        <v>3.6586717018965227E-4</v>
      </c>
    </row>
    <row r="17" spans="1:7" x14ac:dyDescent="0.25">
      <c r="A17" t="s">
        <v>1</v>
      </c>
      <c r="B17" s="1">
        <v>1987</v>
      </c>
      <c r="C17" s="29">
        <v>3554259096</v>
      </c>
      <c r="D17" s="29">
        <v>1000000</v>
      </c>
      <c r="E17" s="7">
        <f t="shared" ref="E17:E34" si="0">D17/C17</f>
        <v>2.8135258938365252E-4</v>
      </c>
    </row>
    <row r="18" spans="1:7" x14ac:dyDescent="0.25">
      <c r="A18" t="s">
        <v>1</v>
      </c>
      <c r="B18" s="1">
        <v>1995</v>
      </c>
      <c r="C18" s="29">
        <v>3971480219</v>
      </c>
      <c r="D18" s="29">
        <v>1000000</v>
      </c>
      <c r="E18" s="7">
        <f t="shared" si="0"/>
        <v>2.5179528660772109E-4</v>
      </c>
    </row>
    <row r="19" spans="1:7" x14ac:dyDescent="0.25">
      <c r="A19" t="s">
        <v>1</v>
      </c>
      <c r="B19" s="1">
        <v>2002</v>
      </c>
      <c r="C19" s="29">
        <v>5573594096</v>
      </c>
      <c r="D19" s="29">
        <f>10465000-7250000-50000-85000-100000-2250000</f>
        <v>730000</v>
      </c>
      <c r="E19" s="7">
        <f t="shared" si="0"/>
        <v>1.3097473325585351E-4</v>
      </c>
    </row>
    <row r="20" spans="1:7" x14ac:dyDescent="0.25">
      <c r="A20" t="s">
        <v>0</v>
      </c>
      <c r="B20" s="1">
        <v>2003</v>
      </c>
      <c r="C20" s="29">
        <v>8030746898</v>
      </c>
      <c r="D20" s="29">
        <f>25000-20000</f>
        <v>5000</v>
      </c>
      <c r="E20" s="7">
        <f>D20/C20</f>
        <v>6.2260709539298442E-7</v>
      </c>
      <c r="G20" s="3"/>
    </row>
    <row r="21" spans="1:7" x14ac:dyDescent="0.25">
      <c r="A21" t="s">
        <v>1</v>
      </c>
      <c r="B21" s="1">
        <v>2003</v>
      </c>
      <c r="C21" s="29">
        <v>6139331564</v>
      </c>
      <c r="D21" s="29">
        <f>5850000-350000-480000-5000000</f>
        <v>20000</v>
      </c>
      <c r="E21" s="7">
        <f t="shared" si="0"/>
        <v>3.2576836405573224E-6</v>
      </c>
    </row>
    <row r="22" spans="1:7" x14ac:dyDescent="0.25">
      <c r="A22" t="s">
        <v>0</v>
      </c>
      <c r="B22" s="1">
        <v>2005</v>
      </c>
      <c r="C22" s="29">
        <v>8369113789</v>
      </c>
      <c r="D22" s="29">
        <f>1200000-500000</f>
        <v>700000</v>
      </c>
      <c r="E22" s="7">
        <f t="shared" si="0"/>
        <v>8.3640874965763951E-5</v>
      </c>
      <c r="G22" s="3"/>
    </row>
    <row r="23" spans="1:7" x14ac:dyDescent="0.25">
      <c r="A23" t="s">
        <v>1</v>
      </c>
      <c r="B23" s="1">
        <v>2005</v>
      </c>
      <c r="C23" s="29">
        <v>6785549829</v>
      </c>
      <c r="D23" s="29">
        <f>750000-500000</f>
        <v>250000</v>
      </c>
      <c r="E23" s="7">
        <f t="shared" si="0"/>
        <v>3.6842998179978435E-5</v>
      </c>
    </row>
    <row r="24" spans="1:7" x14ac:dyDescent="0.25">
      <c r="A24" t="s">
        <v>1</v>
      </c>
      <c r="B24" s="1">
        <v>2007</v>
      </c>
      <c r="C24" s="29">
        <v>7241536350</v>
      </c>
      <c r="D24" s="29">
        <f>12800000-1500000-1000000-1000000-300000-6000000</f>
        <v>3000000</v>
      </c>
      <c r="E24" s="7">
        <f t="shared" si="0"/>
        <v>4.1427673010299812E-4</v>
      </c>
    </row>
    <row r="25" spans="1:7" x14ac:dyDescent="0.25">
      <c r="A25" t="s">
        <v>0</v>
      </c>
      <c r="B25" s="1">
        <v>2012</v>
      </c>
      <c r="C25" s="29">
        <v>8280605133</v>
      </c>
      <c r="D25" s="31">
        <f>1845000-10000-625000-5000-260000-100000</f>
        <v>845000</v>
      </c>
      <c r="E25" s="7">
        <f t="shared" si="0"/>
        <v>1.020456822210363E-4</v>
      </c>
    </row>
    <row r="26" spans="1:7" x14ac:dyDescent="0.25">
      <c r="A26" t="s">
        <v>1</v>
      </c>
      <c r="B26" s="1">
        <v>2012</v>
      </c>
      <c r="C26" s="29">
        <v>7803513258</v>
      </c>
      <c r="D26" s="31">
        <f>1230000-500000-30000-80000-40000</f>
        <v>580000</v>
      </c>
      <c r="E26" s="7">
        <f t="shared" si="0"/>
        <v>7.4325496840207963E-5</v>
      </c>
    </row>
    <row r="27" spans="1:7" x14ac:dyDescent="0.25">
      <c r="A27" t="s">
        <v>1</v>
      </c>
      <c r="B27" s="1">
        <v>2014</v>
      </c>
      <c r="C27" s="29">
        <v>8395058330</v>
      </c>
      <c r="D27" s="31">
        <f>14000000-4000000-2000000-5000000</f>
        <v>3000000</v>
      </c>
      <c r="E27" s="7">
        <f t="shared" si="0"/>
        <v>3.5735308583615283E-4</v>
      </c>
    </row>
    <row r="28" spans="1:7" x14ac:dyDescent="0.25">
      <c r="A28" t="s">
        <v>1</v>
      </c>
      <c r="B28" s="1">
        <v>2015</v>
      </c>
      <c r="C28" s="29">
        <v>8658232481</v>
      </c>
      <c r="D28" s="31">
        <f>7150000-4000000-400000-1400000</f>
        <v>1350000</v>
      </c>
      <c r="E28" s="7">
        <f t="shared" si="0"/>
        <v>1.559209692004111E-4</v>
      </c>
    </row>
    <row r="29" spans="1:7" x14ac:dyDescent="0.25">
      <c r="A29" t="s">
        <v>0</v>
      </c>
      <c r="B29" s="1">
        <v>2016</v>
      </c>
      <c r="C29" s="29">
        <v>9619185189</v>
      </c>
      <c r="D29" s="31">
        <f>1050000-500000-50000</f>
        <v>500000</v>
      </c>
      <c r="E29" s="7">
        <f t="shared" si="0"/>
        <v>5.1979454618648369E-5</v>
      </c>
    </row>
    <row r="30" spans="1:7" x14ac:dyDescent="0.25">
      <c r="A30" t="s">
        <v>0</v>
      </c>
      <c r="B30" s="1">
        <v>2017</v>
      </c>
      <c r="C30" s="29">
        <v>10159536215</v>
      </c>
      <c r="D30" s="31">
        <f>22465000-300000-350000-10000000-165000-5000000-6000000</f>
        <v>650000</v>
      </c>
      <c r="E30" s="7">
        <f t="shared" si="0"/>
        <v>6.3979298488085558E-5</v>
      </c>
      <c r="G30" s="6"/>
    </row>
    <row r="31" spans="1:7" x14ac:dyDescent="0.25">
      <c r="A31" t="s">
        <v>0</v>
      </c>
      <c r="B31" s="1">
        <v>2020</v>
      </c>
      <c r="C31" s="29">
        <v>10579607537</v>
      </c>
      <c r="D31" s="31">
        <f>4600000-2600000</f>
        <v>2000000</v>
      </c>
      <c r="E31" s="7">
        <f t="shared" si="0"/>
        <v>1.8904292933413756E-4</v>
      </c>
      <c r="G31" s="6"/>
    </row>
    <row r="32" spans="1:7" x14ac:dyDescent="0.25">
      <c r="A32" t="s">
        <v>1</v>
      </c>
      <c r="B32" s="1">
        <v>2020</v>
      </c>
      <c r="C32" s="29">
        <v>10252948939</v>
      </c>
      <c r="D32" s="31">
        <f>44000000-23000000</f>
        <v>21000000</v>
      </c>
      <c r="E32" s="7">
        <f t="shared" si="0"/>
        <v>2.0481912203932414E-3</v>
      </c>
      <c r="G32" s="6"/>
    </row>
    <row r="33" spans="1:7" x14ac:dyDescent="0.25">
      <c r="A33" t="s">
        <v>1</v>
      </c>
      <c r="B33" s="1">
        <v>2021</v>
      </c>
      <c r="C33" s="29">
        <v>11143492827</v>
      </c>
      <c r="D33" s="31">
        <v>7500000</v>
      </c>
      <c r="E33" s="7">
        <f t="shared" si="0"/>
        <v>6.7303852718673268E-4</v>
      </c>
      <c r="G33" s="6"/>
    </row>
    <row r="34" spans="1:7" x14ac:dyDescent="0.25">
      <c r="A34" t="s">
        <v>1</v>
      </c>
      <c r="B34" s="1">
        <v>2022</v>
      </c>
      <c r="C34" s="29">
        <v>11542934816</v>
      </c>
      <c r="D34" s="31">
        <v>750000</v>
      </c>
      <c r="E34" s="7">
        <f t="shared" si="0"/>
        <v>6.4974810302177494E-5</v>
      </c>
      <c r="G34" s="6"/>
    </row>
    <row r="35" spans="1:7" x14ac:dyDescent="0.25">
      <c r="C35" s="3"/>
      <c r="D35" s="32"/>
      <c r="E35" s="7"/>
      <c r="G35" s="6"/>
    </row>
    <row r="36" spans="1:7" ht="15.75" thickBot="1" x14ac:dyDescent="0.3">
      <c r="A36" t="s">
        <v>7</v>
      </c>
      <c r="D36" s="11">
        <f>SUM(D16:D35)</f>
        <v>45580000</v>
      </c>
    </row>
    <row r="37" spans="1:7" ht="15.75" thickTop="1" x14ac:dyDescent="0.25">
      <c r="D37" s="6"/>
    </row>
    <row r="38" spans="1:7" x14ac:dyDescent="0.25">
      <c r="A38" t="s">
        <v>65</v>
      </c>
    </row>
    <row r="39" spans="1:7" x14ac:dyDescent="0.25">
      <c r="D39" s="6"/>
    </row>
  </sheetData>
  <pageMargins left="0.7" right="0.2" top="1.25" bottom="0.75" header="0.3" footer="0.3"/>
  <pageSetup scale="103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DFC0-B1E4-494E-88C7-E4C65A9573B0}">
  <dimension ref="A1:G35"/>
  <sheetViews>
    <sheetView zoomScaleNormal="100" workbookViewId="0">
      <selection activeCell="D3" sqref="D3"/>
    </sheetView>
  </sheetViews>
  <sheetFormatPr defaultRowHeight="15" x14ac:dyDescent="0.25"/>
  <cols>
    <col min="1" max="1" width="26.28515625" customWidth="1"/>
    <col min="2" max="2" width="9" style="1" bestFit="1" customWidth="1"/>
    <col min="3" max="3" width="18" bestFit="1" customWidth="1"/>
    <col min="4" max="4" width="16.5703125" bestFit="1" customWidth="1"/>
    <col min="5" max="5" width="18.5703125" customWidth="1"/>
    <col min="6" max="6" width="4.7109375" customWidth="1"/>
    <col min="7" max="7" width="12.5703125" bestFit="1" customWidth="1"/>
  </cols>
  <sheetData>
    <row r="1" spans="1:6" x14ac:dyDescent="0.25">
      <c r="A1" s="8" t="s">
        <v>55</v>
      </c>
    </row>
    <row r="2" spans="1:6" x14ac:dyDescent="0.25">
      <c r="A2" s="8"/>
      <c r="B2" s="18" t="s">
        <v>10</v>
      </c>
      <c r="C2" s="18" t="s">
        <v>0</v>
      </c>
      <c r="D2" s="18" t="s">
        <v>1</v>
      </c>
      <c r="E2" s="18" t="s">
        <v>7</v>
      </c>
    </row>
    <row r="3" spans="1:6" x14ac:dyDescent="0.25">
      <c r="A3" t="s">
        <v>56</v>
      </c>
      <c r="B3" s="1">
        <v>2022</v>
      </c>
      <c r="C3" s="33">
        <v>0</v>
      </c>
      <c r="D3" s="33">
        <v>750000</v>
      </c>
      <c r="E3" s="33">
        <f>SUM(C3:D3)</f>
        <v>750000</v>
      </c>
    </row>
    <row r="4" spans="1:6" x14ac:dyDescent="0.25">
      <c r="A4" s="36"/>
      <c r="B4" s="35"/>
      <c r="C4" s="35"/>
      <c r="D4" s="35"/>
      <c r="E4" s="35"/>
    </row>
    <row r="5" spans="1:6" x14ac:dyDescent="0.25">
      <c r="A5" s="35" t="s">
        <v>9</v>
      </c>
      <c r="B5" s="35"/>
      <c r="C5" s="37">
        <f>C3/C7</f>
        <v>0</v>
      </c>
      <c r="D5" s="37">
        <f>D3/D7</f>
        <v>6.4974810302177494E-5</v>
      </c>
      <c r="E5" s="38"/>
    </row>
    <row r="6" spans="1:6" x14ac:dyDescent="0.25">
      <c r="A6" s="36"/>
      <c r="B6" s="35"/>
      <c r="C6" s="38"/>
      <c r="D6" s="38"/>
      <c r="E6" s="38"/>
    </row>
    <row r="7" spans="1:6" x14ac:dyDescent="0.25">
      <c r="A7" s="39" t="s">
        <v>57</v>
      </c>
      <c r="B7" s="35"/>
      <c r="C7" s="40">
        <v>11694483253</v>
      </c>
      <c r="D7" s="40">
        <v>11542934816</v>
      </c>
      <c r="E7" s="40">
        <f>SUM(C7:D7)</f>
        <v>23237418069</v>
      </c>
    </row>
    <row r="11" spans="1:6" x14ac:dyDescent="0.25">
      <c r="A11" s="8" t="s">
        <v>58</v>
      </c>
    </row>
    <row r="12" spans="1:6" x14ac:dyDescent="0.25">
      <c r="A12" s="8" t="s">
        <v>6</v>
      </c>
      <c r="B12" s="2" t="s">
        <v>2</v>
      </c>
      <c r="C12" s="2" t="s">
        <v>3</v>
      </c>
      <c r="D12" s="2" t="s">
        <v>4</v>
      </c>
      <c r="E12" s="2" t="s">
        <v>5</v>
      </c>
      <c r="F12" s="2"/>
    </row>
    <row r="13" spans="1:6" x14ac:dyDescent="0.25">
      <c r="A13" t="s">
        <v>1</v>
      </c>
      <c r="B13" s="1">
        <v>1984</v>
      </c>
      <c r="C13" s="3">
        <v>1913262673</v>
      </c>
      <c r="D13" s="3">
        <v>700000</v>
      </c>
      <c r="E13" s="7">
        <f>D13/C13</f>
        <v>3.6586717018965227E-4</v>
      </c>
    </row>
    <row r="14" spans="1:6" x14ac:dyDescent="0.25">
      <c r="A14" t="s">
        <v>1</v>
      </c>
      <c r="B14" s="1">
        <v>1987</v>
      </c>
      <c r="C14" s="29">
        <v>3554259096</v>
      </c>
      <c r="D14" s="29">
        <v>1000000</v>
      </c>
      <c r="E14" s="7">
        <f t="shared" ref="E14:E30" si="0">D14/C14</f>
        <v>2.8135258938365252E-4</v>
      </c>
    </row>
    <row r="15" spans="1:6" x14ac:dyDescent="0.25">
      <c r="A15" t="s">
        <v>1</v>
      </c>
      <c r="B15" s="1">
        <v>1995</v>
      </c>
      <c r="C15" s="29">
        <v>3971480219</v>
      </c>
      <c r="D15" s="29">
        <v>1000000</v>
      </c>
      <c r="E15" s="7">
        <f t="shared" si="0"/>
        <v>2.5179528660772109E-4</v>
      </c>
    </row>
    <row r="16" spans="1:6" x14ac:dyDescent="0.25">
      <c r="A16" t="s">
        <v>1</v>
      </c>
      <c r="B16" s="1">
        <v>2002</v>
      </c>
      <c r="C16" s="29">
        <v>5573594096</v>
      </c>
      <c r="D16" s="29">
        <f>10465000-7250000-50000-85000-100000-2250000</f>
        <v>730000</v>
      </c>
      <c r="E16" s="7">
        <f t="shared" si="0"/>
        <v>1.3097473325585351E-4</v>
      </c>
    </row>
    <row r="17" spans="1:7" x14ac:dyDescent="0.25">
      <c r="A17" t="s">
        <v>0</v>
      </c>
      <c r="B17" s="1">
        <v>2003</v>
      </c>
      <c r="C17" s="29">
        <v>8030746898</v>
      </c>
      <c r="D17" s="29">
        <f>25000-20000</f>
        <v>5000</v>
      </c>
      <c r="E17" s="7">
        <f>D17/C17</f>
        <v>6.2260709539298442E-7</v>
      </c>
      <c r="G17" s="3"/>
    </row>
    <row r="18" spans="1:7" x14ac:dyDescent="0.25">
      <c r="A18" t="s">
        <v>1</v>
      </c>
      <c r="B18" s="1">
        <v>2003</v>
      </c>
      <c r="C18" s="29">
        <v>6139331564</v>
      </c>
      <c r="D18" s="29">
        <f>5850000-350000-480000-5000000</f>
        <v>20000</v>
      </c>
      <c r="E18" s="7">
        <f t="shared" si="0"/>
        <v>3.2576836405573224E-6</v>
      </c>
    </row>
    <row r="19" spans="1:7" x14ac:dyDescent="0.25">
      <c r="A19" t="s">
        <v>0</v>
      </c>
      <c r="B19" s="1">
        <v>2005</v>
      </c>
      <c r="C19" s="29">
        <v>8369113789</v>
      </c>
      <c r="D19" s="29">
        <f>1200000-500000</f>
        <v>700000</v>
      </c>
      <c r="E19" s="7">
        <f t="shared" si="0"/>
        <v>8.3640874965763951E-5</v>
      </c>
      <c r="G19" s="3"/>
    </row>
    <row r="20" spans="1:7" x14ac:dyDescent="0.25">
      <c r="A20" t="s">
        <v>1</v>
      </c>
      <c r="B20" s="1">
        <v>2005</v>
      </c>
      <c r="C20" s="29">
        <v>6785549829</v>
      </c>
      <c r="D20" s="29">
        <f>750000-500000</f>
        <v>250000</v>
      </c>
      <c r="E20" s="7">
        <f t="shared" si="0"/>
        <v>3.6842998179978435E-5</v>
      </c>
    </row>
    <row r="21" spans="1:7" x14ac:dyDescent="0.25">
      <c r="A21" t="s">
        <v>1</v>
      </c>
      <c r="B21" s="1">
        <v>2007</v>
      </c>
      <c r="C21" s="29">
        <v>7241536350</v>
      </c>
      <c r="D21" s="29">
        <f>12800000-1500000-1000000-1000000-300000-6000000</f>
        <v>3000000</v>
      </c>
      <c r="E21" s="7">
        <f t="shared" si="0"/>
        <v>4.1427673010299812E-4</v>
      </c>
    </row>
    <row r="22" spans="1:7" x14ac:dyDescent="0.25">
      <c r="A22" t="s">
        <v>0</v>
      </c>
      <c r="B22" s="1">
        <v>2012</v>
      </c>
      <c r="C22" s="29">
        <v>8280605133</v>
      </c>
      <c r="D22" s="31">
        <f>1845000-10000-625000-5000-260000-100000</f>
        <v>845000</v>
      </c>
      <c r="E22" s="7">
        <f t="shared" si="0"/>
        <v>1.020456822210363E-4</v>
      </c>
    </row>
    <row r="23" spans="1:7" x14ac:dyDescent="0.25">
      <c r="A23" t="s">
        <v>1</v>
      </c>
      <c r="B23" s="1">
        <v>2012</v>
      </c>
      <c r="C23" s="29">
        <v>7803513258</v>
      </c>
      <c r="D23" s="31">
        <f>1230000-500000-30000-80000-40000</f>
        <v>580000</v>
      </c>
      <c r="E23" s="7">
        <f t="shared" si="0"/>
        <v>7.4325496840207963E-5</v>
      </c>
    </row>
    <row r="24" spans="1:7" x14ac:dyDescent="0.25">
      <c r="A24" t="s">
        <v>1</v>
      </c>
      <c r="B24" s="1">
        <v>2014</v>
      </c>
      <c r="C24" s="29">
        <v>8395058330</v>
      </c>
      <c r="D24" s="31">
        <f>14000000-4000000-2000000-5000000</f>
        <v>3000000</v>
      </c>
      <c r="E24" s="7">
        <f t="shared" si="0"/>
        <v>3.5735308583615283E-4</v>
      </c>
    </row>
    <row r="25" spans="1:7" x14ac:dyDescent="0.25">
      <c r="A25" t="s">
        <v>1</v>
      </c>
      <c r="B25" s="1">
        <v>2015</v>
      </c>
      <c r="C25" s="29">
        <v>8658232481</v>
      </c>
      <c r="D25" s="31">
        <f>7150000-4000000-400000-1400000</f>
        <v>1350000</v>
      </c>
      <c r="E25" s="7">
        <f t="shared" si="0"/>
        <v>1.559209692004111E-4</v>
      </c>
    </row>
    <row r="26" spans="1:7" x14ac:dyDescent="0.25">
      <c r="A26" t="s">
        <v>0</v>
      </c>
      <c r="B26" s="1">
        <v>2016</v>
      </c>
      <c r="C26" s="29">
        <v>9619185189</v>
      </c>
      <c r="D26" s="31">
        <f>1050000-500000-50000</f>
        <v>500000</v>
      </c>
      <c r="E26" s="7">
        <f t="shared" si="0"/>
        <v>5.1979454618648369E-5</v>
      </c>
    </row>
    <row r="27" spans="1:7" x14ac:dyDescent="0.25">
      <c r="A27" t="s">
        <v>0</v>
      </c>
      <c r="B27" s="1">
        <v>2017</v>
      </c>
      <c r="C27" s="29">
        <v>10159536215</v>
      </c>
      <c r="D27" s="31">
        <f>22465000-300000-350000-10000000-165000-5000000-6000000</f>
        <v>650000</v>
      </c>
      <c r="E27" s="7">
        <f t="shared" si="0"/>
        <v>6.3979298488085558E-5</v>
      </c>
      <c r="G27" s="6"/>
    </row>
    <row r="28" spans="1:7" x14ac:dyDescent="0.25">
      <c r="A28" t="s">
        <v>0</v>
      </c>
      <c r="B28" s="1">
        <v>2020</v>
      </c>
      <c r="C28" s="29">
        <v>10579607537</v>
      </c>
      <c r="D28" s="31">
        <f>4600000-2600000</f>
        <v>2000000</v>
      </c>
      <c r="E28" s="7">
        <f t="shared" si="0"/>
        <v>1.8904292933413756E-4</v>
      </c>
      <c r="G28" s="6"/>
    </row>
    <row r="29" spans="1:7" x14ac:dyDescent="0.25">
      <c r="A29" t="s">
        <v>1</v>
      </c>
      <c r="B29" s="1">
        <v>2020</v>
      </c>
      <c r="C29" s="29">
        <v>10252948939</v>
      </c>
      <c r="D29" s="31">
        <f>44000000-23000000</f>
        <v>21000000</v>
      </c>
      <c r="E29" s="7">
        <f t="shared" si="0"/>
        <v>2.0481912203932414E-3</v>
      </c>
      <c r="G29" s="6"/>
    </row>
    <row r="30" spans="1:7" x14ac:dyDescent="0.25">
      <c r="A30" t="s">
        <v>1</v>
      </c>
      <c r="B30" s="1">
        <v>2021</v>
      </c>
      <c r="C30" s="29">
        <v>11143492827</v>
      </c>
      <c r="D30" s="31">
        <v>7500000</v>
      </c>
      <c r="E30" s="7">
        <f t="shared" si="0"/>
        <v>6.7303852718673268E-4</v>
      </c>
      <c r="G30" s="6"/>
    </row>
    <row r="31" spans="1:7" x14ac:dyDescent="0.25">
      <c r="C31" s="3"/>
      <c r="D31" s="32"/>
      <c r="E31" s="7"/>
      <c r="G31" s="6"/>
    </row>
    <row r="32" spans="1:7" ht="15.75" thickBot="1" x14ac:dyDescent="0.3">
      <c r="A32" t="s">
        <v>7</v>
      </c>
      <c r="D32" s="11">
        <f>SUM(D13:D30)</f>
        <v>44830000</v>
      </c>
    </row>
    <row r="33" spans="1:4" ht="15.75" thickTop="1" x14ac:dyDescent="0.25">
      <c r="D33" s="6"/>
    </row>
    <row r="34" spans="1:4" x14ac:dyDescent="0.25">
      <c r="A34" t="s">
        <v>59</v>
      </c>
    </row>
    <row r="35" spans="1:4" x14ac:dyDescent="0.25">
      <c r="D35" s="6"/>
    </row>
  </sheetData>
  <pageMargins left="0.7" right="0.2" top="1.25" bottom="0.75" header="0.3" footer="0.3"/>
  <pageSetup scale="103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26F7E-8367-4610-9D47-0A846CE69F1D}">
  <dimension ref="A1:G34"/>
  <sheetViews>
    <sheetView zoomScaleNormal="100" workbookViewId="0">
      <selection activeCell="C30" sqref="C30"/>
    </sheetView>
  </sheetViews>
  <sheetFormatPr defaultRowHeight="15" x14ac:dyDescent="0.25"/>
  <cols>
    <col min="1" max="1" width="26.28515625" customWidth="1"/>
    <col min="2" max="2" width="9" style="1" bestFit="1" customWidth="1"/>
    <col min="3" max="3" width="18" bestFit="1" customWidth="1"/>
    <col min="4" max="4" width="16.5703125" bestFit="1" customWidth="1"/>
    <col min="5" max="5" width="18.5703125" customWidth="1"/>
    <col min="6" max="6" width="4.7109375" customWidth="1"/>
    <col min="7" max="7" width="12.5703125" bestFit="1" customWidth="1"/>
  </cols>
  <sheetData>
    <row r="1" spans="1:6" x14ac:dyDescent="0.25">
      <c r="A1" s="8" t="s">
        <v>52</v>
      </c>
    </row>
    <row r="2" spans="1:6" x14ac:dyDescent="0.25">
      <c r="A2" s="8"/>
      <c r="B2" s="18" t="s">
        <v>10</v>
      </c>
      <c r="C2" s="18" t="s">
        <v>0</v>
      </c>
      <c r="D2" s="18" t="s">
        <v>1</v>
      </c>
      <c r="E2" s="18" t="s">
        <v>7</v>
      </c>
    </row>
    <row r="3" spans="1:6" x14ac:dyDescent="0.25">
      <c r="A3" t="s">
        <v>50</v>
      </c>
      <c r="B3" s="1">
        <v>2021</v>
      </c>
      <c r="C3" s="33">
        <v>0</v>
      </c>
      <c r="D3" s="33">
        <v>7500000</v>
      </c>
      <c r="E3" s="33">
        <f>SUM(C3:D3)</f>
        <v>7500000</v>
      </c>
    </row>
    <row r="4" spans="1:6" x14ac:dyDescent="0.25">
      <c r="A4" s="36"/>
      <c r="B4" s="35"/>
      <c r="C4" s="35"/>
      <c r="D4" s="35"/>
      <c r="E4" s="35"/>
    </row>
    <row r="5" spans="1:6" x14ac:dyDescent="0.25">
      <c r="A5" s="35" t="s">
        <v>9</v>
      </c>
      <c r="B5" s="35"/>
      <c r="C5" s="37">
        <f>C3/C7</f>
        <v>0</v>
      </c>
      <c r="D5" s="37">
        <f>D3/D7</f>
        <v>6.7303852718673268E-4</v>
      </c>
      <c r="E5" s="38"/>
    </row>
    <row r="6" spans="1:6" x14ac:dyDescent="0.25">
      <c r="A6" s="36"/>
      <c r="B6" s="35"/>
      <c r="C6" s="38"/>
      <c r="D6" s="38"/>
      <c r="E6" s="38"/>
    </row>
    <row r="7" spans="1:6" x14ac:dyDescent="0.25">
      <c r="A7" s="39" t="s">
        <v>51</v>
      </c>
      <c r="B7" s="35"/>
      <c r="C7" s="40">
        <v>11241388875</v>
      </c>
      <c r="D7" s="40">
        <v>11143492827</v>
      </c>
      <c r="E7" s="40">
        <f>SUM(C7:D7)</f>
        <v>22384881702</v>
      </c>
    </row>
    <row r="11" spans="1:6" x14ac:dyDescent="0.25">
      <c r="A11" s="8" t="s">
        <v>54</v>
      </c>
    </row>
    <row r="12" spans="1:6" x14ac:dyDescent="0.25">
      <c r="A12" s="8" t="s">
        <v>6</v>
      </c>
      <c r="B12" s="2" t="s">
        <v>2</v>
      </c>
      <c r="C12" s="2" t="s">
        <v>3</v>
      </c>
      <c r="D12" s="2" t="s">
        <v>4</v>
      </c>
      <c r="E12" s="2" t="s">
        <v>5</v>
      </c>
      <c r="F12" s="2"/>
    </row>
    <row r="13" spans="1:6" x14ac:dyDescent="0.25">
      <c r="A13" t="s">
        <v>1</v>
      </c>
      <c r="B13" s="1">
        <v>1984</v>
      </c>
      <c r="C13" s="3">
        <v>1913262673</v>
      </c>
      <c r="D13" s="3">
        <v>700000</v>
      </c>
      <c r="E13" s="7">
        <f>D13/C13</f>
        <v>3.6586717018965227E-4</v>
      </c>
    </row>
    <row r="14" spans="1:6" x14ac:dyDescent="0.25">
      <c r="A14" t="s">
        <v>1</v>
      </c>
      <c r="B14" s="1">
        <v>1987</v>
      </c>
      <c r="C14" s="29">
        <v>3554259096</v>
      </c>
      <c r="D14" s="29">
        <v>1000000</v>
      </c>
      <c r="E14" s="7">
        <f t="shared" ref="E14:E29" si="0">D14/C14</f>
        <v>2.8135258938365252E-4</v>
      </c>
    </row>
    <row r="15" spans="1:6" x14ac:dyDescent="0.25">
      <c r="A15" t="s">
        <v>1</v>
      </c>
      <c r="B15" s="1">
        <v>1995</v>
      </c>
      <c r="C15" s="29">
        <v>3971480219</v>
      </c>
      <c r="D15" s="29">
        <v>1000000</v>
      </c>
      <c r="E15" s="7">
        <f t="shared" si="0"/>
        <v>2.5179528660772109E-4</v>
      </c>
    </row>
    <row r="16" spans="1:6" x14ac:dyDescent="0.25">
      <c r="A16" t="s">
        <v>1</v>
      </c>
      <c r="B16" s="1">
        <v>2002</v>
      </c>
      <c r="C16" s="29">
        <v>5573594096</v>
      </c>
      <c r="D16" s="29">
        <f>10465000-7250000-50000-85000-100000-2250000</f>
        <v>730000</v>
      </c>
      <c r="E16" s="7">
        <f t="shared" si="0"/>
        <v>1.3097473325585351E-4</v>
      </c>
    </row>
    <row r="17" spans="1:7" x14ac:dyDescent="0.25">
      <c r="A17" t="s">
        <v>0</v>
      </c>
      <c r="B17" s="1">
        <v>2003</v>
      </c>
      <c r="C17" s="29">
        <v>8030746898</v>
      </c>
      <c r="D17" s="29">
        <f>25000-20000</f>
        <v>5000</v>
      </c>
      <c r="E17" s="7">
        <f>D17/C17</f>
        <v>6.2260709539298442E-7</v>
      </c>
      <c r="G17" s="3"/>
    </row>
    <row r="18" spans="1:7" x14ac:dyDescent="0.25">
      <c r="A18" t="s">
        <v>1</v>
      </c>
      <c r="B18" s="1">
        <v>2003</v>
      </c>
      <c r="C18" s="29">
        <v>6139331564</v>
      </c>
      <c r="D18" s="29">
        <f>5850000-350000-480000-5000000</f>
        <v>20000</v>
      </c>
      <c r="E18" s="7">
        <f t="shared" si="0"/>
        <v>3.2576836405573224E-6</v>
      </c>
    </row>
    <row r="19" spans="1:7" x14ac:dyDescent="0.25">
      <c r="A19" t="s">
        <v>0</v>
      </c>
      <c r="B19" s="1">
        <v>2005</v>
      </c>
      <c r="C19" s="29">
        <v>8369113789</v>
      </c>
      <c r="D19" s="29">
        <f>1200000-500000</f>
        <v>700000</v>
      </c>
      <c r="E19" s="7">
        <f t="shared" si="0"/>
        <v>8.3640874965763951E-5</v>
      </c>
      <c r="G19" s="3"/>
    </row>
    <row r="20" spans="1:7" x14ac:dyDescent="0.25">
      <c r="A20" t="s">
        <v>1</v>
      </c>
      <c r="B20" s="1">
        <v>2005</v>
      </c>
      <c r="C20" s="29">
        <v>6785549829</v>
      </c>
      <c r="D20" s="29">
        <f>750000-500000</f>
        <v>250000</v>
      </c>
      <c r="E20" s="7">
        <f t="shared" si="0"/>
        <v>3.6842998179978435E-5</v>
      </c>
    </row>
    <row r="21" spans="1:7" x14ac:dyDescent="0.25">
      <c r="A21" t="s">
        <v>1</v>
      </c>
      <c r="B21" s="1">
        <v>2007</v>
      </c>
      <c r="C21" s="29">
        <v>7241536350</v>
      </c>
      <c r="D21" s="29">
        <f>12800000-1500000-1000000-1000000-300000-6000000</f>
        <v>3000000</v>
      </c>
      <c r="E21" s="7">
        <f t="shared" si="0"/>
        <v>4.1427673010299812E-4</v>
      </c>
    </row>
    <row r="22" spans="1:7" x14ac:dyDescent="0.25">
      <c r="A22" t="s">
        <v>0</v>
      </c>
      <c r="B22" s="1">
        <v>2012</v>
      </c>
      <c r="C22" s="29">
        <v>8280605133</v>
      </c>
      <c r="D22" s="31">
        <f>1845000-10000-625000-5000-260000-100000</f>
        <v>845000</v>
      </c>
      <c r="E22" s="7">
        <f t="shared" si="0"/>
        <v>1.020456822210363E-4</v>
      </c>
    </row>
    <row r="23" spans="1:7" x14ac:dyDescent="0.25">
      <c r="A23" t="s">
        <v>1</v>
      </c>
      <c r="B23" s="1">
        <v>2012</v>
      </c>
      <c r="C23" s="29">
        <v>7803513258</v>
      </c>
      <c r="D23" s="31">
        <f>1230000-500000-30000-80000-40000</f>
        <v>580000</v>
      </c>
      <c r="E23" s="7">
        <f t="shared" si="0"/>
        <v>7.4325496840207963E-5</v>
      </c>
    </row>
    <row r="24" spans="1:7" x14ac:dyDescent="0.25">
      <c r="A24" t="s">
        <v>1</v>
      </c>
      <c r="B24" s="1">
        <v>2014</v>
      </c>
      <c r="C24" s="29">
        <v>8395058330</v>
      </c>
      <c r="D24" s="31">
        <f>14000000-4000000-2000000-5000000</f>
        <v>3000000</v>
      </c>
      <c r="E24" s="7">
        <f t="shared" si="0"/>
        <v>3.5735308583615283E-4</v>
      </c>
    </row>
    <row r="25" spans="1:7" x14ac:dyDescent="0.25">
      <c r="A25" t="s">
        <v>1</v>
      </c>
      <c r="B25" s="1">
        <v>2015</v>
      </c>
      <c r="C25" s="29">
        <v>8658232481</v>
      </c>
      <c r="D25" s="31">
        <f>7150000-4000000-400000-1400000</f>
        <v>1350000</v>
      </c>
      <c r="E25" s="7">
        <f t="shared" si="0"/>
        <v>1.559209692004111E-4</v>
      </c>
    </row>
    <row r="26" spans="1:7" x14ac:dyDescent="0.25">
      <c r="A26" t="s">
        <v>0</v>
      </c>
      <c r="B26" s="1">
        <v>2016</v>
      </c>
      <c r="C26" s="29">
        <v>9619185189</v>
      </c>
      <c r="D26" s="31">
        <f>1050000-500000-50000</f>
        <v>500000</v>
      </c>
      <c r="E26" s="7">
        <f t="shared" si="0"/>
        <v>5.1979454618648369E-5</v>
      </c>
    </row>
    <row r="27" spans="1:7" x14ac:dyDescent="0.25">
      <c r="A27" t="s">
        <v>0</v>
      </c>
      <c r="B27" s="1">
        <v>2017</v>
      </c>
      <c r="C27" s="29">
        <v>10159536215</v>
      </c>
      <c r="D27" s="31">
        <f>22465000-300000-350000-10000000-165000-5000000-6000000</f>
        <v>650000</v>
      </c>
      <c r="E27" s="7">
        <f t="shared" si="0"/>
        <v>6.3979298488085558E-5</v>
      </c>
      <c r="G27" s="6"/>
    </row>
    <row r="28" spans="1:7" x14ac:dyDescent="0.25">
      <c r="A28" t="s">
        <v>0</v>
      </c>
      <c r="B28" s="1">
        <v>2020</v>
      </c>
      <c r="C28" s="29">
        <v>10579607537</v>
      </c>
      <c r="D28" s="31">
        <f>4600000-2600000</f>
        <v>2000000</v>
      </c>
      <c r="E28" s="7">
        <f t="shared" si="0"/>
        <v>1.8904292933413756E-4</v>
      </c>
      <c r="G28" s="6"/>
    </row>
    <row r="29" spans="1:7" x14ac:dyDescent="0.25">
      <c r="A29" t="s">
        <v>1</v>
      </c>
      <c r="B29" s="1">
        <v>2020</v>
      </c>
      <c r="C29" s="29">
        <v>10252948939</v>
      </c>
      <c r="D29" s="31">
        <f>44000000-23000000</f>
        <v>21000000</v>
      </c>
      <c r="E29" s="7">
        <f t="shared" si="0"/>
        <v>2.0481912203932414E-3</v>
      </c>
      <c r="G29" s="6"/>
    </row>
    <row r="30" spans="1:7" x14ac:dyDescent="0.25">
      <c r="C30" s="3"/>
      <c r="D30" s="32"/>
      <c r="E30" s="7"/>
      <c r="G30" s="6"/>
    </row>
    <row r="31" spans="1:7" ht="15.75" thickBot="1" x14ac:dyDescent="0.3">
      <c r="A31" t="s">
        <v>7</v>
      </c>
      <c r="D31" s="11">
        <f>SUM(D13:D29)</f>
        <v>37330000</v>
      </c>
    </row>
    <row r="32" spans="1:7" ht="15.75" thickTop="1" x14ac:dyDescent="0.25">
      <c r="D32" s="6"/>
    </row>
    <row r="33" spans="1:4" x14ac:dyDescent="0.25">
      <c r="A33" t="s">
        <v>53</v>
      </c>
    </row>
    <row r="34" spans="1:4" x14ac:dyDescent="0.25">
      <c r="D34" s="6"/>
    </row>
  </sheetData>
  <pageMargins left="0.7" right="0.2" top="1.25" bottom="0.75" header="0.3" footer="0.3"/>
  <pageSetup scale="103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60A5-0B79-4348-8D02-B29193601259}">
  <dimension ref="A1:L55"/>
  <sheetViews>
    <sheetView zoomScaleNormal="100" workbookViewId="0">
      <selection activeCell="A14" sqref="A14:E15"/>
    </sheetView>
  </sheetViews>
  <sheetFormatPr defaultRowHeight="15" x14ac:dyDescent="0.25"/>
  <cols>
    <col min="1" max="1" width="26.28515625" customWidth="1"/>
    <col min="2" max="2" width="9" style="1" bestFit="1" customWidth="1"/>
    <col min="3" max="3" width="18" bestFit="1" customWidth="1"/>
    <col min="4" max="4" width="16.5703125" bestFit="1" customWidth="1"/>
    <col min="5" max="5" width="18.5703125" customWidth="1"/>
    <col min="6" max="6" width="4.7109375" customWidth="1"/>
    <col min="7" max="7" width="12.5703125" bestFit="1" customWidth="1"/>
    <col min="12" max="12" width="13.42578125" bestFit="1" customWidth="1"/>
  </cols>
  <sheetData>
    <row r="1" spans="1:12" x14ac:dyDescent="0.25">
      <c r="A1" s="8" t="s">
        <v>42</v>
      </c>
    </row>
    <row r="2" spans="1:12" x14ac:dyDescent="0.25">
      <c r="A2" s="8"/>
      <c r="B2" s="18" t="s">
        <v>10</v>
      </c>
      <c r="C2" s="18" t="s">
        <v>0</v>
      </c>
      <c r="D2" s="18" t="s">
        <v>1</v>
      </c>
      <c r="E2" s="18" t="s">
        <v>7</v>
      </c>
    </row>
    <row r="3" spans="1:12" x14ac:dyDescent="0.25">
      <c r="A3" t="s">
        <v>25</v>
      </c>
      <c r="B3" s="1">
        <v>2020</v>
      </c>
      <c r="C3" s="33">
        <v>0</v>
      </c>
      <c r="D3" s="33">
        <v>5000000</v>
      </c>
      <c r="E3" s="33">
        <f>SUM(C3:D3)</f>
        <v>5000000</v>
      </c>
    </row>
    <row r="4" spans="1:12" x14ac:dyDescent="0.25">
      <c r="A4" t="s">
        <v>38</v>
      </c>
      <c r="B4" s="1">
        <v>2020</v>
      </c>
      <c r="C4" s="34">
        <v>500000</v>
      </c>
      <c r="D4" s="34">
        <v>0</v>
      </c>
      <c r="E4" s="34">
        <f>SUM(C4:D4)</f>
        <v>500000</v>
      </c>
    </row>
    <row r="5" spans="1:12" x14ac:dyDescent="0.25">
      <c r="A5" t="s">
        <v>39</v>
      </c>
      <c r="B5" s="1">
        <v>2020</v>
      </c>
      <c r="C5" s="34">
        <v>100000</v>
      </c>
      <c r="D5" s="34">
        <v>0</v>
      </c>
      <c r="E5" s="34">
        <f>SUM(C5:D5)</f>
        <v>100000</v>
      </c>
    </row>
    <row r="6" spans="1:12" x14ac:dyDescent="0.25">
      <c r="A6" t="s">
        <v>43</v>
      </c>
      <c r="B6" s="1">
        <v>2020</v>
      </c>
      <c r="C6" s="41">
        <v>4000000</v>
      </c>
      <c r="D6" s="41">
        <v>39000000</v>
      </c>
      <c r="E6" s="41">
        <f>SUM(C6:D6)</f>
        <v>43000000</v>
      </c>
    </row>
    <row r="7" spans="1:12" x14ac:dyDescent="0.25">
      <c r="C7" s="29"/>
      <c r="D7" s="29"/>
      <c r="E7" s="29"/>
    </row>
    <row r="8" spans="1:12" ht="15.75" thickBot="1" x14ac:dyDescent="0.3">
      <c r="A8" t="s">
        <v>8</v>
      </c>
      <c r="B8" s="35"/>
      <c r="C8" s="28">
        <f>SUM(C3:C7)</f>
        <v>4600000</v>
      </c>
      <c r="D8" s="28">
        <f>SUM(D3:D7)</f>
        <v>44000000</v>
      </c>
      <c r="E8" s="28">
        <f>SUM(E3:E7)</f>
        <v>48600000</v>
      </c>
    </row>
    <row r="9" spans="1:12" ht="15.75" thickTop="1" x14ac:dyDescent="0.25">
      <c r="A9" s="36"/>
      <c r="B9" s="35"/>
      <c r="C9" s="35"/>
      <c r="D9" s="35"/>
      <c r="E9" s="35"/>
    </row>
    <row r="10" spans="1:12" x14ac:dyDescent="0.25">
      <c r="A10" s="35" t="s">
        <v>9</v>
      </c>
      <c r="B10" s="35"/>
      <c r="C10" s="37">
        <f>C8/C12</f>
        <v>4.3479873746851634E-4</v>
      </c>
      <c r="D10" s="37">
        <f>D8/D12</f>
        <v>4.2914482713001245E-3</v>
      </c>
      <c r="E10" s="38"/>
    </row>
    <row r="11" spans="1:12" x14ac:dyDescent="0.25">
      <c r="A11" s="36"/>
      <c r="B11" s="35"/>
      <c r="C11" s="38"/>
      <c r="D11" s="38"/>
      <c r="E11" s="38"/>
    </row>
    <row r="12" spans="1:12" x14ac:dyDescent="0.25">
      <c r="A12" s="39" t="s">
        <v>49</v>
      </c>
      <c r="B12" s="35"/>
      <c r="C12" s="40">
        <v>10579607537</v>
      </c>
      <c r="D12" s="40">
        <v>10252948939</v>
      </c>
      <c r="E12" s="40">
        <f>SUM(C12:D12)</f>
        <v>20832556476</v>
      </c>
      <c r="L12" s="6">
        <f>D52</f>
        <v>42130000</v>
      </c>
    </row>
    <row r="13" spans="1:12" x14ac:dyDescent="0.25">
      <c r="A13" s="39"/>
      <c r="B13" s="35"/>
      <c r="C13" s="40"/>
      <c r="D13" s="40"/>
      <c r="E13" s="40"/>
      <c r="L13" s="6">
        <f>+E8</f>
        <v>48600000</v>
      </c>
    </row>
    <row r="14" spans="1:12" x14ac:dyDescent="0.25">
      <c r="A14" s="8" t="s">
        <v>44</v>
      </c>
      <c r="B14" s="18"/>
      <c r="C14" s="30"/>
      <c r="D14" s="30"/>
      <c r="E14" s="30"/>
      <c r="L14" s="6">
        <f>-E15-E27</f>
        <v>-53400000</v>
      </c>
    </row>
    <row r="15" spans="1:12" x14ac:dyDescent="0.25">
      <c r="A15" t="s">
        <v>34</v>
      </c>
      <c r="B15" s="1">
        <v>2017</v>
      </c>
      <c r="C15" s="29">
        <v>0</v>
      </c>
      <c r="D15" s="29">
        <v>6000000</v>
      </c>
      <c r="E15" s="29">
        <f>SUM(C15:D15)</f>
        <v>6000000</v>
      </c>
      <c r="L15" s="6">
        <f>L12+L13+L14</f>
        <v>37330000</v>
      </c>
    </row>
    <row r="16" spans="1:12" x14ac:dyDescent="0.25">
      <c r="C16" s="29"/>
      <c r="D16" s="29"/>
      <c r="E16" s="29"/>
    </row>
    <row r="17" spans="1:6" x14ac:dyDescent="0.25">
      <c r="A17" s="8" t="s">
        <v>48</v>
      </c>
      <c r="B17" s="18"/>
      <c r="C17" s="18"/>
      <c r="D17" s="18"/>
      <c r="E17" s="18"/>
    </row>
    <row r="18" spans="1:6" x14ac:dyDescent="0.25">
      <c r="A18" t="s">
        <v>45</v>
      </c>
      <c r="B18" s="1">
        <v>2003</v>
      </c>
      <c r="C18" s="3">
        <v>0</v>
      </c>
      <c r="D18" s="3">
        <v>5000000</v>
      </c>
      <c r="E18" s="3">
        <f>SUM(C18:D18)</f>
        <v>5000000</v>
      </c>
    </row>
    <row r="19" spans="1:6" x14ac:dyDescent="0.25">
      <c r="A19" t="s">
        <v>45</v>
      </c>
      <c r="B19" s="1">
        <v>2014</v>
      </c>
      <c r="C19" s="29">
        <v>0</v>
      </c>
      <c r="D19" s="29">
        <v>5000000</v>
      </c>
      <c r="E19" s="29">
        <f>SUM(C19:D19)</f>
        <v>5000000</v>
      </c>
    </row>
    <row r="20" spans="1:6" x14ac:dyDescent="0.25">
      <c r="A20" t="s">
        <v>25</v>
      </c>
      <c r="B20" s="1">
        <v>2017</v>
      </c>
      <c r="C20" s="29">
        <v>0</v>
      </c>
      <c r="D20" s="29">
        <v>10000000</v>
      </c>
      <c r="E20" s="29">
        <f t="shared" ref="E20:E25" si="0">SUM(C20:D20)</f>
        <v>10000000</v>
      </c>
    </row>
    <row r="21" spans="1:6" x14ac:dyDescent="0.25">
      <c r="A21" t="s">
        <v>38</v>
      </c>
      <c r="B21" s="1">
        <v>2019</v>
      </c>
      <c r="C21" s="29">
        <v>1500000</v>
      </c>
      <c r="D21" s="29">
        <v>0</v>
      </c>
      <c r="E21" s="29">
        <f t="shared" si="0"/>
        <v>1500000</v>
      </c>
    </row>
    <row r="22" spans="1:6" x14ac:dyDescent="0.25">
      <c r="A22" t="s">
        <v>39</v>
      </c>
      <c r="B22" s="1">
        <v>2019</v>
      </c>
      <c r="C22" s="29">
        <v>300000</v>
      </c>
      <c r="D22" s="29">
        <v>0</v>
      </c>
      <c r="E22" s="29">
        <f t="shared" si="0"/>
        <v>300000</v>
      </c>
    </row>
    <row r="23" spans="1:6" x14ac:dyDescent="0.25">
      <c r="A23" t="s">
        <v>38</v>
      </c>
      <c r="B23" s="1">
        <v>2020</v>
      </c>
      <c r="C23" s="29">
        <v>500000</v>
      </c>
      <c r="D23" s="29">
        <v>0</v>
      </c>
      <c r="E23" s="29">
        <f t="shared" si="0"/>
        <v>500000</v>
      </c>
    </row>
    <row r="24" spans="1:6" x14ac:dyDescent="0.25">
      <c r="A24" t="s">
        <v>39</v>
      </c>
      <c r="B24" s="1">
        <v>2020</v>
      </c>
      <c r="C24" s="29">
        <v>100000</v>
      </c>
      <c r="D24" s="29">
        <v>0</v>
      </c>
      <c r="E24" s="29">
        <f t="shared" si="0"/>
        <v>100000</v>
      </c>
    </row>
    <row r="25" spans="1:6" x14ac:dyDescent="0.25">
      <c r="A25" t="s">
        <v>43</v>
      </c>
      <c r="B25" s="1">
        <v>2020</v>
      </c>
      <c r="C25" s="42">
        <v>2000000</v>
      </c>
      <c r="D25" s="42">
        <v>23000000</v>
      </c>
      <c r="E25" s="42">
        <f t="shared" si="0"/>
        <v>25000000</v>
      </c>
    </row>
    <row r="27" spans="1:6" ht="15.75" thickBot="1" x14ac:dyDescent="0.3">
      <c r="C27" s="11">
        <f>SUM(C18:C25)</f>
        <v>4400000</v>
      </c>
      <c r="D27" s="11">
        <f>SUM(D18:D25)</f>
        <v>43000000</v>
      </c>
      <c r="E27" s="11">
        <f>SUM(E18:E25)</f>
        <v>47400000</v>
      </c>
    </row>
    <row r="28" spans="1:6" ht="15.75" thickTop="1" x14ac:dyDescent="0.25"/>
    <row r="31" spans="1:6" x14ac:dyDescent="0.25">
      <c r="A31" s="8" t="s">
        <v>46</v>
      </c>
    </row>
    <row r="32" spans="1:6" x14ac:dyDescent="0.25">
      <c r="A32" s="8" t="s">
        <v>6</v>
      </c>
      <c r="B32" s="2" t="s">
        <v>2</v>
      </c>
      <c r="C32" s="2" t="s">
        <v>3</v>
      </c>
      <c r="D32" s="2" t="s">
        <v>4</v>
      </c>
      <c r="E32" s="2" t="s">
        <v>5</v>
      </c>
      <c r="F32" s="2"/>
    </row>
    <row r="33" spans="1:7" x14ac:dyDescent="0.25">
      <c r="A33" t="s">
        <v>1</v>
      </c>
      <c r="B33" s="1">
        <v>1984</v>
      </c>
      <c r="C33" s="3">
        <v>1913262673</v>
      </c>
      <c r="D33" s="3">
        <v>700000</v>
      </c>
      <c r="E33" s="7">
        <f>D33/C33</f>
        <v>3.6586717018965227E-4</v>
      </c>
    </row>
    <row r="34" spans="1:7" x14ac:dyDescent="0.25">
      <c r="A34" t="s">
        <v>1</v>
      </c>
      <c r="B34" s="1">
        <v>1987</v>
      </c>
      <c r="C34" s="29">
        <v>3554259096</v>
      </c>
      <c r="D34" s="29">
        <v>1000000</v>
      </c>
      <c r="E34" s="7">
        <f t="shared" ref="E34:E50" si="1">D34/C34</f>
        <v>2.8135258938365252E-4</v>
      </c>
    </row>
    <row r="35" spans="1:7" x14ac:dyDescent="0.25">
      <c r="A35" t="s">
        <v>1</v>
      </c>
      <c r="B35" s="1">
        <v>1995</v>
      </c>
      <c r="C35" s="29">
        <v>3971480219</v>
      </c>
      <c r="D35" s="29">
        <v>1000000</v>
      </c>
      <c r="E35" s="7">
        <f t="shared" si="1"/>
        <v>2.5179528660772109E-4</v>
      </c>
    </row>
    <row r="36" spans="1:7" x14ac:dyDescent="0.25">
      <c r="A36" t="s">
        <v>1</v>
      </c>
      <c r="B36" s="1">
        <v>2002</v>
      </c>
      <c r="C36" s="29">
        <v>5573594096</v>
      </c>
      <c r="D36" s="29">
        <f>10465000-7250000-50000-85000-100000-2250000</f>
        <v>730000</v>
      </c>
      <c r="E36" s="7">
        <f t="shared" si="1"/>
        <v>1.3097473325585351E-4</v>
      </c>
    </row>
    <row r="37" spans="1:7" x14ac:dyDescent="0.25">
      <c r="A37" t="s">
        <v>0</v>
      </c>
      <c r="B37" s="1">
        <v>2003</v>
      </c>
      <c r="C37" s="29">
        <v>8030746898</v>
      </c>
      <c r="D37" s="29">
        <f>25000-20000</f>
        <v>5000</v>
      </c>
      <c r="E37" s="7">
        <f>D37/C37</f>
        <v>6.2260709539298442E-7</v>
      </c>
      <c r="G37" s="3"/>
    </row>
    <row r="38" spans="1:7" x14ac:dyDescent="0.25">
      <c r="A38" t="s">
        <v>1</v>
      </c>
      <c r="B38" s="1">
        <v>2003</v>
      </c>
      <c r="C38" s="29">
        <v>6139331564</v>
      </c>
      <c r="D38" s="29">
        <f>5850000-350000-480000</f>
        <v>5020000</v>
      </c>
      <c r="E38" s="7">
        <f t="shared" si="1"/>
        <v>8.1767859377988796E-4</v>
      </c>
    </row>
    <row r="39" spans="1:7" x14ac:dyDescent="0.25">
      <c r="A39" t="s">
        <v>0</v>
      </c>
      <c r="B39" s="1">
        <v>2005</v>
      </c>
      <c r="C39" s="29">
        <v>8369113789</v>
      </c>
      <c r="D39" s="29">
        <f>1200000-500000</f>
        <v>700000</v>
      </c>
      <c r="E39" s="7">
        <f t="shared" si="1"/>
        <v>8.3640874965763951E-5</v>
      </c>
      <c r="G39" s="3"/>
    </row>
    <row r="40" spans="1:7" x14ac:dyDescent="0.25">
      <c r="A40" t="s">
        <v>1</v>
      </c>
      <c r="B40" s="1">
        <v>2005</v>
      </c>
      <c r="C40" s="29">
        <v>6785549829</v>
      </c>
      <c r="D40" s="29">
        <f>750000-500000</f>
        <v>250000</v>
      </c>
      <c r="E40" s="7">
        <f t="shared" si="1"/>
        <v>3.6842998179978435E-5</v>
      </c>
    </row>
    <row r="41" spans="1:7" x14ac:dyDescent="0.25">
      <c r="A41" t="s">
        <v>1</v>
      </c>
      <c r="B41" s="1">
        <v>2007</v>
      </c>
      <c r="C41" s="29">
        <v>7241536350</v>
      </c>
      <c r="D41" s="29">
        <f>12800000-1500000-1000000-1000000-300000-6000000</f>
        <v>3000000</v>
      </c>
      <c r="E41" s="7">
        <f t="shared" si="1"/>
        <v>4.1427673010299812E-4</v>
      </c>
    </row>
    <row r="42" spans="1:7" x14ac:dyDescent="0.25">
      <c r="A42" t="s">
        <v>0</v>
      </c>
      <c r="B42" s="1">
        <v>2012</v>
      </c>
      <c r="C42" s="29">
        <v>8280605133</v>
      </c>
      <c r="D42" s="31">
        <f>1845000-10000-625000-5000-260000-100000</f>
        <v>845000</v>
      </c>
      <c r="E42" s="7">
        <f t="shared" si="1"/>
        <v>1.020456822210363E-4</v>
      </c>
    </row>
    <row r="43" spans="1:7" x14ac:dyDescent="0.25">
      <c r="A43" t="s">
        <v>1</v>
      </c>
      <c r="B43" s="1">
        <v>2012</v>
      </c>
      <c r="C43" s="29">
        <v>7803513258</v>
      </c>
      <c r="D43" s="31">
        <f>1230000-500000-30000-80000-40000</f>
        <v>580000</v>
      </c>
      <c r="E43" s="7">
        <f t="shared" si="1"/>
        <v>7.4325496840207963E-5</v>
      </c>
    </row>
    <row r="44" spans="1:7" x14ac:dyDescent="0.25">
      <c r="A44" t="s">
        <v>1</v>
      </c>
      <c r="B44" s="1">
        <v>2014</v>
      </c>
      <c r="C44" s="29">
        <v>8395058330</v>
      </c>
      <c r="D44" s="31">
        <f>14000000-4000000-2000000</f>
        <v>8000000</v>
      </c>
      <c r="E44" s="7">
        <f t="shared" si="1"/>
        <v>9.5294156222974096E-4</v>
      </c>
    </row>
    <row r="45" spans="1:7" x14ac:dyDescent="0.25">
      <c r="A45" t="s">
        <v>1</v>
      </c>
      <c r="B45" s="1">
        <v>2015</v>
      </c>
      <c r="C45" s="29">
        <v>8658232481</v>
      </c>
      <c r="D45" s="31">
        <f>7150000-4000000-400000-1400000</f>
        <v>1350000</v>
      </c>
      <c r="E45" s="7">
        <f t="shared" si="1"/>
        <v>1.559209692004111E-4</v>
      </c>
    </row>
    <row r="46" spans="1:7" x14ac:dyDescent="0.25">
      <c r="A46" t="s">
        <v>0</v>
      </c>
      <c r="B46" s="1">
        <v>2016</v>
      </c>
      <c r="C46" s="29">
        <v>9619185189</v>
      </c>
      <c r="D46" s="31">
        <f>1050000-500000-50000</f>
        <v>500000</v>
      </c>
      <c r="E46" s="7">
        <f t="shared" si="1"/>
        <v>5.1979454618648369E-5</v>
      </c>
    </row>
    <row r="47" spans="1:7" x14ac:dyDescent="0.25">
      <c r="A47" t="s">
        <v>1</v>
      </c>
      <c r="B47" s="1">
        <v>2016</v>
      </c>
      <c r="C47" s="29">
        <v>8827415218</v>
      </c>
      <c r="D47" s="31">
        <f>850000-850000</f>
        <v>0</v>
      </c>
      <c r="E47" s="7">
        <f t="shared" si="1"/>
        <v>0</v>
      </c>
    </row>
    <row r="48" spans="1:7" x14ac:dyDescent="0.25">
      <c r="A48" t="s">
        <v>0</v>
      </c>
      <c r="B48" s="1">
        <v>2017</v>
      </c>
      <c r="C48" s="29">
        <v>10159536215</v>
      </c>
      <c r="D48" s="31">
        <f>22465000-300000-350000-10000000-165000-5000000</f>
        <v>6650000</v>
      </c>
      <c r="E48" s="7">
        <f t="shared" si="1"/>
        <v>6.5455743837810612E-4</v>
      </c>
      <c r="G48" s="6"/>
    </row>
    <row r="49" spans="1:7" x14ac:dyDescent="0.25">
      <c r="A49" t="s">
        <v>1</v>
      </c>
      <c r="B49" s="1">
        <v>2017</v>
      </c>
      <c r="C49" s="29">
        <v>8952425792</v>
      </c>
      <c r="D49" s="31">
        <f>40135000-20000000-135000-10000000</f>
        <v>10000000</v>
      </c>
      <c r="E49" s="7">
        <f t="shared" si="1"/>
        <v>1.1170156818206887E-3</v>
      </c>
      <c r="G49" s="6"/>
    </row>
    <row r="50" spans="1:7" x14ac:dyDescent="0.25">
      <c r="A50" t="s">
        <v>0</v>
      </c>
      <c r="B50" s="1">
        <v>2019</v>
      </c>
      <c r="C50" s="29">
        <v>10945606945</v>
      </c>
      <c r="D50" s="31">
        <v>1800000</v>
      </c>
      <c r="E50" s="7">
        <f t="shared" si="1"/>
        <v>1.6444953752174041E-4</v>
      </c>
      <c r="G50" s="6"/>
    </row>
    <row r="51" spans="1:7" x14ac:dyDescent="0.25">
      <c r="C51" s="3"/>
      <c r="D51" s="32"/>
      <c r="E51" s="7"/>
      <c r="G51" s="6"/>
    </row>
    <row r="52" spans="1:7" ht="15.75" thickBot="1" x14ac:dyDescent="0.3">
      <c r="A52" t="s">
        <v>7</v>
      </c>
      <c r="D52" s="11">
        <f>SUM(D33:D50)</f>
        <v>42130000</v>
      </c>
    </row>
    <row r="53" spans="1:7" ht="15.75" thickTop="1" x14ac:dyDescent="0.25">
      <c r="D53" s="6"/>
    </row>
    <row r="54" spans="1:7" x14ac:dyDescent="0.25">
      <c r="A54" t="s">
        <v>47</v>
      </c>
    </row>
    <row r="55" spans="1:7" x14ac:dyDescent="0.25">
      <c r="D55" s="6"/>
    </row>
  </sheetData>
  <pageMargins left="0.7" right="0.2" top="1.25" bottom="0.75" header="0.3" footer="0.3"/>
  <pageSetup scale="103"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02BB4-EE87-46DE-848E-8F831EFC8167}">
  <dimension ref="A1:G34"/>
  <sheetViews>
    <sheetView zoomScaleNormal="100" workbookViewId="0">
      <selection activeCell="I15" sqref="I15"/>
    </sheetView>
  </sheetViews>
  <sheetFormatPr defaultRowHeight="15" x14ac:dyDescent="0.25"/>
  <cols>
    <col min="1" max="1" width="26.28515625" customWidth="1"/>
    <col min="2" max="2" width="9" style="1" bestFit="1" customWidth="1"/>
    <col min="3" max="3" width="18" bestFit="1" customWidth="1"/>
    <col min="4" max="4" width="16.5703125" bestFit="1" customWidth="1"/>
    <col min="5" max="5" width="18.5703125" customWidth="1"/>
    <col min="6" max="6" width="4.7109375" customWidth="1"/>
    <col min="7" max="7" width="12.5703125" bestFit="1" customWidth="1"/>
  </cols>
  <sheetData>
    <row r="1" spans="1:6" x14ac:dyDescent="0.25">
      <c r="A1" s="8" t="s">
        <v>37</v>
      </c>
    </row>
    <row r="2" spans="1:6" x14ac:dyDescent="0.25">
      <c r="A2" s="8"/>
      <c r="B2" s="18" t="s">
        <v>10</v>
      </c>
      <c r="C2" s="18" t="s">
        <v>0</v>
      </c>
      <c r="D2" s="18" t="s">
        <v>1</v>
      </c>
      <c r="E2" s="18" t="s">
        <v>7</v>
      </c>
    </row>
    <row r="3" spans="1:6" x14ac:dyDescent="0.25">
      <c r="A3" s="8"/>
      <c r="B3" s="18"/>
      <c r="C3" s="18"/>
      <c r="D3" s="18"/>
      <c r="E3" s="18"/>
    </row>
    <row r="4" spans="1:6" x14ac:dyDescent="0.25">
      <c r="A4" t="s">
        <v>38</v>
      </c>
      <c r="B4" s="1">
        <v>2019</v>
      </c>
      <c r="C4" s="3">
        <v>1500000</v>
      </c>
      <c r="D4" s="3">
        <v>0</v>
      </c>
      <c r="E4" s="3">
        <f>SUM(C4:D4)</f>
        <v>1500000</v>
      </c>
    </row>
    <row r="5" spans="1:6" x14ac:dyDescent="0.25">
      <c r="A5" t="s">
        <v>39</v>
      </c>
      <c r="B5" s="1">
        <v>2019</v>
      </c>
      <c r="C5" s="29">
        <v>300000</v>
      </c>
      <c r="D5" s="29">
        <v>0</v>
      </c>
      <c r="E5" s="29">
        <f>SUM(C5:D5)</f>
        <v>300000</v>
      </c>
    </row>
    <row r="6" spans="1:6" x14ac:dyDescent="0.25">
      <c r="C6" s="29"/>
      <c r="D6" s="29"/>
      <c r="E6" s="29"/>
    </row>
    <row r="11" spans="1:6" x14ac:dyDescent="0.25">
      <c r="A11" s="8" t="s">
        <v>40</v>
      </c>
    </row>
    <row r="12" spans="1:6" x14ac:dyDescent="0.25">
      <c r="A12" s="8" t="s">
        <v>6</v>
      </c>
      <c r="B12" s="2" t="s">
        <v>2</v>
      </c>
      <c r="C12" s="2" t="s">
        <v>3</v>
      </c>
      <c r="D12" s="2" t="s">
        <v>4</v>
      </c>
      <c r="E12" s="2" t="s">
        <v>5</v>
      </c>
      <c r="F12" s="2"/>
    </row>
    <row r="13" spans="1:6" x14ac:dyDescent="0.25">
      <c r="A13" t="s">
        <v>1</v>
      </c>
      <c r="B13" s="1">
        <v>1984</v>
      </c>
      <c r="C13" s="3">
        <v>1913262673</v>
      </c>
      <c r="D13" s="3">
        <v>700000</v>
      </c>
      <c r="E13" s="7">
        <f>D13/C13</f>
        <v>3.6586717018965227E-4</v>
      </c>
    </row>
    <row r="14" spans="1:6" x14ac:dyDescent="0.25">
      <c r="A14" t="s">
        <v>1</v>
      </c>
      <c r="B14" s="1">
        <v>1987</v>
      </c>
      <c r="C14" s="29">
        <v>3554259096</v>
      </c>
      <c r="D14" s="29">
        <v>1000000</v>
      </c>
      <c r="E14" s="7">
        <f t="shared" ref="E14:E29" si="0">D14/C14</f>
        <v>2.8135258938365252E-4</v>
      </c>
    </row>
    <row r="15" spans="1:6" x14ac:dyDescent="0.25">
      <c r="A15" t="s">
        <v>1</v>
      </c>
      <c r="B15" s="1">
        <v>1995</v>
      </c>
      <c r="C15" s="29">
        <v>3971480219</v>
      </c>
      <c r="D15" s="29">
        <v>1000000</v>
      </c>
      <c r="E15" s="7">
        <f t="shared" si="0"/>
        <v>2.5179528660772109E-4</v>
      </c>
    </row>
    <row r="16" spans="1:6" x14ac:dyDescent="0.25">
      <c r="A16" t="s">
        <v>1</v>
      </c>
      <c r="B16" s="1">
        <v>2002</v>
      </c>
      <c r="C16" s="29">
        <v>5573594096</v>
      </c>
      <c r="D16" s="29">
        <f>10465000-7250000-50000-85000-100000-2250000</f>
        <v>730000</v>
      </c>
      <c r="E16" s="7">
        <f t="shared" si="0"/>
        <v>1.3097473325585351E-4</v>
      </c>
    </row>
    <row r="17" spans="1:7" x14ac:dyDescent="0.25">
      <c r="A17" t="s">
        <v>0</v>
      </c>
      <c r="B17" s="1">
        <v>2003</v>
      </c>
      <c r="C17" s="29">
        <v>8030746898</v>
      </c>
      <c r="D17" s="29">
        <f>25000-20000</f>
        <v>5000</v>
      </c>
      <c r="E17" s="7">
        <f>D17/C17</f>
        <v>6.2260709539298442E-7</v>
      </c>
      <c r="G17" s="3"/>
    </row>
    <row r="18" spans="1:7" x14ac:dyDescent="0.25">
      <c r="A18" t="s">
        <v>1</v>
      </c>
      <c r="B18" s="1">
        <v>2003</v>
      </c>
      <c r="C18" s="29">
        <v>6139331564</v>
      </c>
      <c r="D18" s="29">
        <f>5850000-350000-480000</f>
        <v>5020000</v>
      </c>
      <c r="E18" s="7">
        <f t="shared" si="0"/>
        <v>8.1767859377988796E-4</v>
      </c>
    </row>
    <row r="19" spans="1:7" x14ac:dyDescent="0.25">
      <c r="A19" t="s">
        <v>0</v>
      </c>
      <c r="B19" s="1">
        <v>2005</v>
      </c>
      <c r="C19" s="29">
        <v>8369113789</v>
      </c>
      <c r="D19" s="29">
        <f>1200000-500000</f>
        <v>700000</v>
      </c>
      <c r="E19" s="7">
        <f t="shared" si="0"/>
        <v>8.3640874965763951E-5</v>
      </c>
      <c r="G19" s="3"/>
    </row>
    <row r="20" spans="1:7" x14ac:dyDescent="0.25">
      <c r="A20" t="s">
        <v>1</v>
      </c>
      <c r="B20" s="1">
        <v>2005</v>
      </c>
      <c r="C20" s="29">
        <v>6785549829</v>
      </c>
      <c r="D20" s="29">
        <f>750000-500000</f>
        <v>250000</v>
      </c>
      <c r="E20" s="7">
        <f t="shared" si="0"/>
        <v>3.6842998179978435E-5</v>
      </c>
    </row>
    <row r="21" spans="1:7" x14ac:dyDescent="0.25">
      <c r="A21" t="s">
        <v>1</v>
      </c>
      <c r="B21" s="1">
        <v>2007</v>
      </c>
      <c r="C21" s="29">
        <v>7241536350</v>
      </c>
      <c r="D21" s="29">
        <f>12800000-1500000-1000000-1000000-300000-6000000</f>
        <v>3000000</v>
      </c>
      <c r="E21" s="7">
        <f t="shared" si="0"/>
        <v>4.1427673010299812E-4</v>
      </c>
    </row>
    <row r="22" spans="1:7" x14ac:dyDescent="0.25">
      <c r="A22" t="s">
        <v>0</v>
      </c>
      <c r="B22" s="1">
        <v>2012</v>
      </c>
      <c r="C22" s="29">
        <v>8280605133</v>
      </c>
      <c r="D22" s="31">
        <f>1845000-10000-625000-5000-260000-100000</f>
        <v>845000</v>
      </c>
      <c r="E22" s="7">
        <f t="shared" si="0"/>
        <v>1.020456822210363E-4</v>
      </c>
    </row>
    <row r="23" spans="1:7" x14ac:dyDescent="0.25">
      <c r="A23" t="s">
        <v>1</v>
      </c>
      <c r="B23" s="1">
        <v>2012</v>
      </c>
      <c r="C23" s="29">
        <v>7803513258</v>
      </c>
      <c r="D23" s="31">
        <f>1230000-500000-30000-80000-40000</f>
        <v>580000</v>
      </c>
      <c r="E23" s="7">
        <f t="shared" si="0"/>
        <v>7.4325496840207963E-5</v>
      </c>
    </row>
    <row r="24" spans="1:7" x14ac:dyDescent="0.25">
      <c r="A24" t="s">
        <v>1</v>
      </c>
      <c r="B24" s="1">
        <v>2014</v>
      </c>
      <c r="C24" s="29">
        <v>8395058330</v>
      </c>
      <c r="D24" s="31">
        <f>14000000-4000000-2000000</f>
        <v>8000000</v>
      </c>
      <c r="E24" s="7">
        <f t="shared" si="0"/>
        <v>9.5294156222974096E-4</v>
      </c>
    </row>
    <row r="25" spans="1:7" x14ac:dyDescent="0.25">
      <c r="A25" t="s">
        <v>1</v>
      </c>
      <c r="B25" s="1">
        <v>2015</v>
      </c>
      <c r="C25" s="29">
        <v>8658232481</v>
      </c>
      <c r="D25" s="31">
        <f>7150000-4000000-400000-1400000</f>
        <v>1350000</v>
      </c>
      <c r="E25" s="7">
        <f t="shared" si="0"/>
        <v>1.559209692004111E-4</v>
      </c>
    </row>
    <row r="26" spans="1:7" x14ac:dyDescent="0.25">
      <c r="A26" t="s">
        <v>0</v>
      </c>
      <c r="B26" s="1">
        <v>2016</v>
      </c>
      <c r="C26" s="29">
        <v>9619185189</v>
      </c>
      <c r="D26" s="31">
        <f>1050000-500000-50000</f>
        <v>500000</v>
      </c>
      <c r="E26" s="7">
        <f t="shared" si="0"/>
        <v>5.1979454618648369E-5</v>
      </c>
    </row>
    <row r="27" spans="1:7" x14ac:dyDescent="0.25">
      <c r="A27" t="s">
        <v>1</v>
      </c>
      <c r="B27" s="1">
        <v>2016</v>
      </c>
      <c r="C27" s="29">
        <v>8827415218</v>
      </c>
      <c r="D27" s="31">
        <f>850000-850000</f>
        <v>0</v>
      </c>
      <c r="E27" s="7">
        <f t="shared" si="0"/>
        <v>0</v>
      </c>
    </row>
    <row r="28" spans="1:7" x14ac:dyDescent="0.25">
      <c r="A28" t="s">
        <v>0</v>
      </c>
      <c r="B28" s="1">
        <v>2017</v>
      </c>
      <c r="C28" s="29">
        <v>10159536215</v>
      </c>
      <c r="D28" s="31">
        <f>22465000-300000-350000-10000000-165000-5000000</f>
        <v>6650000</v>
      </c>
      <c r="E28" s="7">
        <f t="shared" si="0"/>
        <v>6.5455743837810612E-4</v>
      </c>
      <c r="G28" s="6"/>
    </row>
    <row r="29" spans="1:7" x14ac:dyDescent="0.25">
      <c r="A29" t="s">
        <v>1</v>
      </c>
      <c r="B29" s="1">
        <v>2017</v>
      </c>
      <c r="C29" s="29">
        <v>8952425792</v>
      </c>
      <c r="D29" s="31">
        <f>40135000-20000000-135000-10000000</f>
        <v>10000000</v>
      </c>
      <c r="E29" s="7">
        <f t="shared" si="0"/>
        <v>1.1170156818206887E-3</v>
      </c>
      <c r="G29" s="6"/>
    </row>
    <row r="30" spans="1:7" x14ac:dyDescent="0.25">
      <c r="C30" s="3"/>
      <c r="D30" s="32"/>
      <c r="E30" s="7"/>
      <c r="G30" s="6"/>
    </row>
    <row r="31" spans="1:7" ht="15.75" thickBot="1" x14ac:dyDescent="0.3">
      <c r="A31" t="s">
        <v>7</v>
      </c>
      <c r="D31" s="11">
        <f>SUM(D13:D29)</f>
        <v>40330000</v>
      </c>
    </row>
    <row r="32" spans="1:7" ht="15.75" thickTop="1" x14ac:dyDescent="0.25">
      <c r="D32" s="6"/>
    </row>
    <row r="33" spans="1:4" x14ac:dyDescent="0.25">
      <c r="A33" t="s">
        <v>41</v>
      </c>
    </row>
    <row r="34" spans="1:4" x14ac:dyDescent="0.25">
      <c r="D34" s="6"/>
    </row>
  </sheetData>
  <pageMargins left="0.7" right="0.2" top="1.25" bottom="0.75" header="0.3" footer="0.3"/>
  <pageSetup scale="103" orientation="portrait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64E49-0E13-44B5-BD5E-02DFDA6340A3}">
  <dimension ref="A1:G37"/>
  <sheetViews>
    <sheetView zoomScaleNormal="100" workbookViewId="0">
      <selection activeCell="A3" sqref="A3:XFD8"/>
    </sheetView>
  </sheetViews>
  <sheetFormatPr defaultRowHeight="15" x14ac:dyDescent="0.25"/>
  <cols>
    <col min="1" max="1" width="26.28515625" customWidth="1"/>
    <col min="2" max="2" width="9" style="1" bestFit="1" customWidth="1"/>
    <col min="3" max="3" width="18" bestFit="1" customWidth="1"/>
    <col min="4" max="4" width="16.5703125" bestFit="1" customWidth="1"/>
    <col min="5" max="5" width="18.5703125" customWidth="1"/>
    <col min="6" max="6" width="4.7109375" customWidth="1"/>
    <col min="7" max="7" width="12.5703125" bestFit="1" customWidth="1"/>
  </cols>
  <sheetData>
    <row r="1" spans="1:6" x14ac:dyDescent="0.25">
      <c r="A1" s="8" t="s">
        <v>31</v>
      </c>
    </row>
    <row r="2" spans="1:6" x14ac:dyDescent="0.25">
      <c r="A2" s="8"/>
      <c r="B2" s="18" t="s">
        <v>10</v>
      </c>
      <c r="C2" s="18" t="s">
        <v>0</v>
      </c>
      <c r="D2" s="18" t="s">
        <v>1</v>
      </c>
      <c r="E2" s="18" t="s">
        <v>7</v>
      </c>
    </row>
    <row r="3" spans="1:6" x14ac:dyDescent="0.25">
      <c r="A3" s="8" t="s">
        <v>33</v>
      </c>
      <c r="B3" s="18"/>
      <c r="C3" s="18"/>
      <c r="D3" s="18"/>
      <c r="E3" s="18"/>
    </row>
    <row r="4" spans="1:6" x14ac:dyDescent="0.25">
      <c r="A4" t="s">
        <v>25</v>
      </c>
      <c r="B4" s="1">
        <v>2017</v>
      </c>
      <c r="C4" s="3">
        <v>0</v>
      </c>
      <c r="D4" s="3">
        <v>10000000</v>
      </c>
      <c r="E4" s="3">
        <f>SUM(C4:D4)</f>
        <v>10000000</v>
      </c>
    </row>
    <row r="5" spans="1:6" x14ac:dyDescent="0.25">
      <c r="A5" t="s">
        <v>34</v>
      </c>
      <c r="B5" s="1">
        <v>2017</v>
      </c>
      <c r="C5" s="29">
        <v>5000000</v>
      </c>
      <c r="D5" s="29">
        <v>0</v>
      </c>
      <c r="E5" s="29">
        <f>SUM(C5:D5)</f>
        <v>5000000</v>
      </c>
    </row>
    <row r="6" spans="1:6" x14ac:dyDescent="0.25">
      <c r="C6" s="29"/>
      <c r="D6" s="29"/>
      <c r="E6" s="29"/>
    </row>
    <row r="7" spans="1:6" x14ac:dyDescent="0.25">
      <c r="A7" s="8" t="s">
        <v>30</v>
      </c>
      <c r="B7" s="18"/>
      <c r="C7" s="30"/>
      <c r="D7" s="30"/>
      <c r="E7" s="30"/>
    </row>
    <row r="8" spans="1:6" x14ac:dyDescent="0.25">
      <c r="A8" t="s">
        <v>32</v>
      </c>
      <c r="B8" s="1">
        <v>2007</v>
      </c>
      <c r="C8" s="29">
        <v>0</v>
      </c>
      <c r="D8" s="29">
        <v>6000000</v>
      </c>
      <c r="E8" s="29">
        <f>SUM(C8:D8)</f>
        <v>6000000</v>
      </c>
    </row>
    <row r="14" spans="1:6" x14ac:dyDescent="0.25">
      <c r="A14" s="8" t="s">
        <v>36</v>
      </c>
    </row>
    <row r="15" spans="1:6" x14ac:dyDescent="0.25">
      <c r="A15" s="8" t="s">
        <v>6</v>
      </c>
      <c r="B15" s="2" t="s">
        <v>2</v>
      </c>
      <c r="C15" s="2" t="s">
        <v>3</v>
      </c>
      <c r="D15" s="2" t="s">
        <v>4</v>
      </c>
      <c r="E15" s="2" t="s">
        <v>5</v>
      </c>
      <c r="F15" s="2"/>
    </row>
    <row r="16" spans="1:6" x14ac:dyDescent="0.25">
      <c r="A16" t="s">
        <v>1</v>
      </c>
      <c r="B16" s="1">
        <v>1984</v>
      </c>
      <c r="C16" s="3">
        <v>1913262673</v>
      </c>
      <c r="D16" s="3">
        <v>700000</v>
      </c>
      <c r="E16" s="7">
        <f>D16/C16</f>
        <v>3.6586717018965227E-4</v>
      </c>
    </row>
    <row r="17" spans="1:7" x14ac:dyDescent="0.25">
      <c r="A17" t="s">
        <v>1</v>
      </c>
      <c r="B17" s="1">
        <v>1987</v>
      </c>
      <c r="C17" s="29">
        <v>3554259096</v>
      </c>
      <c r="D17" s="29">
        <v>1000000</v>
      </c>
      <c r="E17" s="7">
        <f t="shared" ref="E17:E32" si="0">D17/C17</f>
        <v>2.8135258938365252E-4</v>
      </c>
    </row>
    <row r="18" spans="1:7" x14ac:dyDescent="0.25">
      <c r="A18" t="s">
        <v>1</v>
      </c>
      <c r="B18" s="1">
        <v>1995</v>
      </c>
      <c r="C18" s="29">
        <v>3971480219</v>
      </c>
      <c r="D18" s="29">
        <v>1000000</v>
      </c>
      <c r="E18" s="7">
        <f t="shared" si="0"/>
        <v>2.5179528660772109E-4</v>
      </c>
    </row>
    <row r="19" spans="1:7" x14ac:dyDescent="0.25">
      <c r="A19" t="s">
        <v>1</v>
      </c>
      <c r="B19" s="1">
        <v>2002</v>
      </c>
      <c r="C19" s="29">
        <v>5573594096</v>
      </c>
      <c r="D19" s="29">
        <f>10465000-7250000-50000-85000-100000-2250000</f>
        <v>730000</v>
      </c>
      <c r="E19" s="7">
        <f t="shared" si="0"/>
        <v>1.3097473325585351E-4</v>
      </c>
    </row>
    <row r="20" spans="1:7" x14ac:dyDescent="0.25">
      <c r="A20" t="s">
        <v>0</v>
      </c>
      <c r="B20" s="1">
        <v>2003</v>
      </c>
      <c r="C20" s="29">
        <v>8030746898</v>
      </c>
      <c r="D20" s="29">
        <f>25000-20000</f>
        <v>5000</v>
      </c>
      <c r="E20" s="7">
        <f>D20/C20</f>
        <v>6.2260709539298442E-7</v>
      </c>
      <c r="G20" s="3"/>
    </row>
    <row r="21" spans="1:7" x14ac:dyDescent="0.25">
      <c r="A21" t="s">
        <v>1</v>
      </c>
      <c r="B21" s="1">
        <v>2003</v>
      </c>
      <c r="C21" s="29">
        <v>6139331564</v>
      </c>
      <c r="D21" s="29">
        <f>5850000-350000-480000</f>
        <v>5020000</v>
      </c>
      <c r="E21" s="7">
        <f t="shared" si="0"/>
        <v>8.1767859377988796E-4</v>
      </c>
    </row>
    <row r="22" spans="1:7" x14ac:dyDescent="0.25">
      <c r="A22" t="s">
        <v>0</v>
      </c>
      <c r="B22" s="1">
        <v>2005</v>
      </c>
      <c r="C22" s="29">
        <v>8369113789</v>
      </c>
      <c r="D22" s="29">
        <f>1200000-500000</f>
        <v>700000</v>
      </c>
      <c r="E22" s="7">
        <f t="shared" si="0"/>
        <v>8.3640874965763951E-5</v>
      </c>
      <c r="G22" s="3"/>
    </row>
    <row r="23" spans="1:7" x14ac:dyDescent="0.25">
      <c r="A23" t="s">
        <v>1</v>
      </c>
      <c r="B23" s="1">
        <v>2005</v>
      </c>
      <c r="C23" s="29">
        <v>6785549829</v>
      </c>
      <c r="D23" s="29">
        <f>750000-500000</f>
        <v>250000</v>
      </c>
      <c r="E23" s="7">
        <f t="shared" si="0"/>
        <v>3.6842998179978435E-5</v>
      </c>
    </row>
    <row r="24" spans="1:7" x14ac:dyDescent="0.25">
      <c r="A24" t="s">
        <v>1</v>
      </c>
      <c r="B24" s="1">
        <v>2007</v>
      </c>
      <c r="C24" s="29">
        <v>7241536350</v>
      </c>
      <c r="D24" s="29">
        <f>12800000-1500000-1000000-1000000-300000</f>
        <v>9000000</v>
      </c>
      <c r="E24" s="7">
        <f t="shared" si="0"/>
        <v>1.2428301903089944E-3</v>
      </c>
    </row>
    <row r="25" spans="1:7" x14ac:dyDescent="0.25">
      <c r="A25" t="s">
        <v>0</v>
      </c>
      <c r="B25" s="1">
        <v>2012</v>
      </c>
      <c r="C25" s="29">
        <v>8280605133</v>
      </c>
      <c r="D25" s="31">
        <f>1845000-10000-625000-5000-260000-100000</f>
        <v>845000</v>
      </c>
      <c r="E25" s="7">
        <f t="shared" si="0"/>
        <v>1.020456822210363E-4</v>
      </c>
    </row>
    <row r="26" spans="1:7" x14ac:dyDescent="0.25">
      <c r="A26" t="s">
        <v>1</v>
      </c>
      <c r="B26" s="1">
        <v>2012</v>
      </c>
      <c r="C26" s="29">
        <v>7803513258</v>
      </c>
      <c r="D26" s="31">
        <f>1230000-500000-30000-80000-40000</f>
        <v>580000</v>
      </c>
      <c r="E26" s="7">
        <f t="shared" si="0"/>
        <v>7.4325496840207963E-5</v>
      </c>
    </row>
    <row r="27" spans="1:7" x14ac:dyDescent="0.25">
      <c r="A27" t="s">
        <v>1</v>
      </c>
      <c r="B27" s="1">
        <v>2014</v>
      </c>
      <c r="C27" s="29">
        <v>8395058330</v>
      </c>
      <c r="D27" s="31">
        <f>14000000-4000000-2000000</f>
        <v>8000000</v>
      </c>
      <c r="E27" s="7">
        <f t="shared" si="0"/>
        <v>9.5294156222974096E-4</v>
      </c>
    </row>
    <row r="28" spans="1:7" x14ac:dyDescent="0.25">
      <c r="A28" t="s">
        <v>1</v>
      </c>
      <c r="B28" s="1">
        <v>2015</v>
      </c>
      <c r="C28" s="29">
        <v>8658232481</v>
      </c>
      <c r="D28" s="31">
        <f>7150000-4000000-400000-1400000</f>
        <v>1350000</v>
      </c>
      <c r="E28" s="7">
        <f t="shared" si="0"/>
        <v>1.559209692004111E-4</v>
      </c>
    </row>
    <row r="29" spans="1:7" x14ac:dyDescent="0.25">
      <c r="A29" t="s">
        <v>0</v>
      </c>
      <c r="B29" s="1">
        <v>2016</v>
      </c>
      <c r="C29" s="29">
        <v>9619185189</v>
      </c>
      <c r="D29" s="31">
        <f>1050000-500000-50000</f>
        <v>500000</v>
      </c>
      <c r="E29" s="7">
        <f t="shared" si="0"/>
        <v>5.1979454618648369E-5</v>
      </c>
    </row>
    <row r="30" spans="1:7" x14ac:dyDescent="0.25">
      <c r="A30" t="s">
        <v>1</v>
      </c>
      <c r="B30" s="1">
        <v>2016</v>
      </c>
      <c r="C30" s="29">
        <v>8827415218</v>
      </c>
      <c r="D30" s="31">
        <f>850000-850000</f>
        <v>0</v>
      </c>
      <c r="E30" s="7">
        <f t="shared" si="0"/>
        <v>0</v>
      </c>
    </row>
    <row r="31" spans="1:7" x14ac:dyDescent="0.25">
      <c r="A31" t="s">
        <v>0</v>
      </c>
      <c r="B31" s="1">
        <v>2017</v>
      </c>
      <c r="C31" s="29">
        <v>10159536215</v>
      </c>
      <c r="D31" s="31">
        <f>22465000-300000-350000-10000000-165000</f>
        <v>11650000</v>
      </c>
      <c r="E31" s="7">
        <f t="shared" si="0"/>
        <v>1.1467058882864566E-3</v>
      </c>
      <c r="G31" s="6"/>
    </row>
    <row r="32" spans="1:7" x14ac:dyDescent="0.25">
      <c r="A32" t="s">
        <v>1</v>
      </c>
      <c r="B32" s="1">
        <v>2017</v>
      </c>
      <c r="C32" s="29">
        <v>8952425792</v>
      </c>
      <c r="D32" s="31">
        <f>40135000-20000000-135000</f>
        <v>20000000</v>
      </c>
      <c r="E32" s="7">
        <f t="shared" si="0"/>
        <v>2.2340313636413775E-3</v>
      </c>
      <c r="G32" s="6"/>
    </row>
    <row r="33" spans="1:7" x14ac:dyDescent="0.25">
      <c r="C33" s="3"/>
      <c r="D33" s="32"/>
      <c r="E33" s="7"/>
      <c r="G33" s="6"/>
    </row>
    <row r="34" spans="1:7" ht="15.75" thickBot="1" x14ac:dyDescent="0.3">
      <c r="A34" t="s">
        <v>7</v>
      </c>
      <c r="D34" s="11">
        <f>SUM(D16:D32)</f>
        <v>61330000</v>
      </c>
    </row>
    <row r="35" spans="1:7" ht="15.75" thickTop="1" x14ac:dyDescent="0.25">
      <c r="D35" s="6"/>
    </row>
    <row r="36" spans="1:7" x14ac:dyDescent="0.25">
      <c r="A36" t="s">
        <v>35</v>
      </c>
    </row>
    <row r="37" spans="1:7" x14ac:dyDescent="0.25">
      <c r="D37" s="6"/>
    </row>
  </sheetData>
  <pageMargins left="0.7" right="0.2" top="1.25" bottom="0.75" header="0.3" footer="0.3"/>
  <pageSetup scale="103" orientation="portrait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F20D-1409-47AA-B0B6-385206625085}">
  <dimension ref="A1:G40"/>
  <sheetViews>
    <sheetView workbookViewId="0">
      <selection activeCell="A20" sqref="A20:E36"/>
    </sheetView>
  </sheetViews>
  <sheetFormatPr defaultRowHeight="15" x14ac:dyDescent="0.25"/>
  <cols>
    <col min="1" max="1" width="21.5703125" customWidth="1"/>
    <col min="2" max="2" width="9" style="1" bestFit="1" customWidth="1"/>
    <col min="3" max="3" width="18" bestFit="1" customWidth="1"/>
    <col min="4" max="4" width="16.5703125" bestFit="1" customWidth="1"/>
    <col min="5" max="5" width="18.5703125" customWidth="1"/>
    <col min="6" max="6" width="4.7109375" customWidth="1"/>
    <col min="7" max="7" width="12.5703125" bestFit="1" customWidth="1"/>
  </cols>
  <sheetData>
    <row r="1" spans="1:5" x14ac:dyDescent="0.25">
      <c r="A1" s="8" t="s">
        <v>19</v>
      </c>
    </row>
    <row r="2" spans="1:5" x14ac:dyDescent="0.25">
      <c r="A2" s="8"/>
      <c r="B2" s="18" t="s">
        <v>10</v>
      </c>
      <c r="C2" s="18" t="s">
        <v>0</v>
      </c>
      <c r="D2" s="18" t="s">
        <v>1</v>
      </c>
      <c r="E2" s="18" t="s">
        <v>7</v>
      </c>
    </row>
    <row r="3" spans="1:5" x14ac:dyDescent="0.25">
      <c r="A3" t="s">
        <v>20</v>
      </c>
      <c r="B3" s="1">
        <v>2017</v>
      </c>
      <c r="C3" s="27">
        <v>450000</v>
      </c>
      <c r="D3" s="2"/>
      <c r="E3" s="27">
        <v>450000</v>
      </c>
    </row>
    <row r="4" spans="1:5" x14ac:dyDescent="0.25">
      <c r="A4" t="s">
        <v>21</v>
      </c>
      <c r="B4" s="1">
        <v>2017</v>
      </c>
      <c r="C4" s="27">
        <v>165000</v>
      </c>
      <c r="D4" s="27">
        <v>135000</v>
      </c>
      <c r="E4" s="27">
        <v>300000</v>
      </c>
    </row>
    <row r="5" spans="1:5" x14ac:dyDescent="0.25">
      <c r="A5" t="s">
        <v>22</v>
      </c>
      <c r="B5" s="1">
        <v>2017</v>
      </c>
      <c r="C5" s="27">
        <v>300000</v>
      </c>
      <c r="D5" s="27"/>
      <c r="E5" s="27">
        <v>300000</v>
      </c>
    </row>
    <row r="6" spans="1:5" x14ac:dyDescent="0.25">
      <c r="A6" t="s">
        <v>23</v>
      </c>
      <c r="B6" s="1">
        <v>2017</v>
      </c>
      <c r="C6" s="27">
        <v>200000</v>
      </c>
      <c r="D6" s="27"/>
      <c r="E6" s="27">
        <v>200000</v>
      </c>
    </row>
    <row r="7" spans="1:5" x14ac:dyDescent="0.25">
      <c r="A7" t="s">
        <v>24</v>
      </c>
      <c r="B7" s="1">
        <v>2017</v>
      </c>
      <c r="C7" s="27">
        <v>350000</v>
      </c>
      <c r="D7" s="27"/>
      <c r="E7" s="27">
        <v>350000</v>
      </c>
    </row>
    <row r="8" spans="1:5" x14ac:dyDescent="0.25">
      <c r="A8" t="s">
        <v>25</v>
      </c>
      <c r="B8" s="1">
        <v>2017</v>
      </c>
      <c r="C8" s="27">
        <v>0</v>
      </c>
      <c r="D8" s="27">
        <v>40000000</v>
      </c>
      <c r="E8" s="27">
        <v>40000000</v>
      </c>
    </row>
    <row r="9" spans="1:5" x14ac:dyDescent="0.25">
      <c r="A9" t="s">
        <v>26</v>
      </c>
      <c r="B9" s="1">
        <v>2017</v>
      </c>
      <c r="C9" s="27">
        <v>21000000</v>
      </c>
      <c r="D9" s="27">
        <v>0</v>
      </c>
      <c r="E9" s="27">
        <v>21000000</v>
      </c>
    </row>
    <row r="10" spans="1:5" x14ac:dyDescent="0.25">
      <c r="A10" s="15"/>
      <c r="B10" s="15"/>
      <c r="C10" s="15"/>
      <c r="D10" s="25"/>
      <c r="E10" s="25"/>
    </row>
    <row r="11" spans="1:5" x14ac:dyDescent="0.25">
      <c r="A11" s="13" t="s">
        <v>8</v>
      </c>
      <c r="B11" s="13"/>
      <c r="C11" s="23">
        <f>SUM(C3:C10)</f>
        <v>22465000</v>
      </c>
      <c r="D11" s="23">
        <f t="shared" ref="D11:E11" si="0">SUM(D3:D10)</f>
        <v>40135000</v>
      </c>
      <c r="E11" s="23">
        <f t="shared" si="0"/>
        <v>62600000</v>
      </c>
    </row>
    <row r="12" spans="1:5" x14ac:dyDescent="0.25">
      <c r="A12" s="14"/>
      <c r="B12" s="15"/>
      <c r="C12" s="15"/>
      <c r="D12" s="15"/>
      <c r="E12" s="15"/>
    </row>
    <row r="13" spans="1:5" x14ac:dyDescent="0.25">
      <c r="A13" s="13" t="s">
        <v>9</v>
      </c>
      <c r="B13" s="13"/>
      <c r="C13" s="20">
        <f>C11/C15</f>
        <v>2.2112229854382185E-3</v>
      </c>
      <c r="D13" s="20">
        <f>D11/D15</f>
        <v>4.4831424389873342E-3</v>
      </c>
      <c r="E13" s="19"/>
    </row>
    <row r="14" spans="1:5" x14ac:dyDescent="0.25">
      <c r="A14" s="14"/>
      <c r="B14" s="15"/>
      <c r="C14" s="17"/>
      <c r="D14" s="17"/>
      <c r="E14" s="17"/>
    </row>
    <row r="15" spans="1:5" ht="24.75" thickBot="1" x14ac:dyDescent="0.3">
      <c r="A15" s="13" t="s">
        <v>27</v>
      </c>
      <c r="B15" s="13"/>
      <c r="C15" s="28">
        <v>10159536215</v>
      </c>
      <c r="D15" s="28">
        <v>8952425792</v>
      </c>
      <c r="E15" s="28">
        <f>SUM(C15:D15)</f>
        <v>19111962007</v>
      </c>
    </row>
    <row r="16" spans="1:5" ht="15.75" thickTop="1" x14ac:dyDescent="0.25"/>
    <row r="18" spans="1:7" x14ac:dyDescent="0.25">
      <c r="A18" s="10" t="s">
        <v>28</v>
      </c>
      <c r="B18" s="4"/>
      <c r="C18" s="5"/>
      <c r="D18" s="5"/>
      <c r="E18" s="5"/>
    </row>
    <row r="19" spans="1:7" x14ac:dyDescent="0.25">
      <c r="A19" s="8" t="s">
        <v>6</v>
      </c>
      <c r="B19" s="2" t="s">
        <v>2</v>
      </c>
      <c r="C19" s="2" t="s">
        <v>3</v>
      </c>
      <c r="D19" s="2" t="s">
        <v>4</v>
      </c>
      <c r="E19" s="2" t="s">
        <v>5</v>
      </c>
      <c r="F19" s="2"/>
    </row>
    <row r="20" spans="1:7" x14ac:dyDescent="0.25">
      <c r="A20" t="s">
        <v>1</v>
      </c>
      <c r="B20" s="1">
        <v>1984</v>
      </c>
      <c r="C20" s="3">
        <v>1913262673</v>
      </c>
      <c r="D20" s="3">
        <v>700000</v>
      </c>
      <c r="E20" s="7">
        <f>D20/C20</f>
        <v>3.6586717018965227E-4</v>
      </c>
    </row>
    <row r="21" spans="1:7" x14ac:dyDescent="0.25">
      <c r="A21" t="s">
        <v>1</v>
      </c>
      <c r="B21" s="1">
        <v>1987</v>
      </c>
      <c r="C21" s="3">
        <v>3554259096</v>
      </c>
      <c r="D21" s="3">
        <v>1000000</v>
      </c>
      <c r="E21" s="7">
        <f t="shared" ref="E21:E34" si="1">D21/C21</f>
        <v>2.8135258938365252E-4</v>
      </c>
    </row>
    <row r="22" spans="1:7" x14ac:dyDescent="0.25">
      <c r="A22" t="s">
        <v>1</v>
      </c>
      <c r="B22" s="1">
        <v>1995</v>
      </c>
      <c r="C22" s="3">
        <v>3971480219</v>
      </c>
      <c r="D22" s="3">
        <v>1000000</v>
      </c>
      <c r="E22" s="7">
        <f t="shared" si="1"/>
        <v>2.5179528660772109E-4</v>
      </c>
    </row>
    <row r="23" spans="1:7" x14ac:dyDescent="0.25">
      <c r="A23" t="s">
        <v>1</v>
      </c>
      <c r="B23" s="1">
        <v>2002</v>
      </c>
      <c r="C23" s="3">
        <v>5573594096</v>
      </c>
      <c r="D23" s="3">
        <f>10465000-7250000-50000-85000-100000</f>
        <v>2980000</v>
      </c>
      <c r="E23" s="7">
        <f t="shared" si="1"/>
        <v>5.3466397959238833E-4</v>
      </c>
    </row>
    <row r="24" spans="1:7" x14ac:dyDescent="0.25">
      <c r="A24" t="s">
        <v>1</v>
      </c>
      <c r="B24" s="1">
        <v>2003</v>
      </c>
      <c r="C24" s="3">
        <v>6139331564</v>
      </c>
      <c r="D24" s="3">
        <f>5850000-350000</f>
        <v>5500000</v>
      </c>
      <c r="E24" s="7">
        <f t="shared" si="1"/>
        <v>8.9586300115326368E-4</v>
      </c>
    </row>
    <row r="25" spans="1:7" x14ac:dyDescent="0.25">
      <c r="A25" t="s">
        <v>0</v>
      </c>
      <c r="B25" s="1">
        <v>2003</v>
      </c>
      <c r="C25" s="3">
        <v>8030746898</v>
      </c>
      <c r="D25" s="3">
        <v>25000</v>
      </c>
      <c r="E25" s="7">
        <f t="shared" si="1"/>
        <v>3.1130354769649222E-6</v>
      </c>
      <c r="G25" s="3"/>
    </row>
    <row r="26" spans="1:7" x14ac:dyDescent="0.25">
      <c r="A26" t="s">
        <v>0</v>
      </c>
      <c r="B26" s="1">
        <v>2005</v>
      </c>
      <c r="C26" s="3">
        <v>8369113789</v>
      </c>
      <c r="D26" s="3">
        <v>1200000</v>
      </c>
      <c r="E26" s="7">
        <f t="shared" si="1"/>
        <v>1.4338435708416677E-4</v>
      </c>
      <c r="G26" s="3"/>
    </row>
    <row r="27" spans="1:7" x14ac:dyDescent="0.25">
      <c r="A27" t="s">
        <v>1</v>
      </c>
      <c r="B27" s="1">
        <v>2005</v>
      </c>
      <c r="C27" s="3">
        <v>6785549829</v>
      </c>
      <c r="D27" s="3">
        <f>750000-500000</f>
        <v>250000</v>
      </c>
      <c r="E27" s="7">
        <f t="shared" si="1"/>
        <v>3.6842998179978435E-5</v>
      </c>
    </row>
    <row r="28" spans="1:7" x14ac:dyDescent="0.25">
      <c r="A28" t="s">
        <v>1</v>
      </c>
      <c r="B28" s="1">
        <v>2007</v>
      </c>
      <c r="C28" s="3">
        <v>7241536350</v>
      </c>
      <c r="D28" s="3">
        <f>12800000-1500000-1000000-1000000-300000</f>
        <v>9000000</v>
      </c>
      <c r="E28" s="7">
        <f t="shared" si="1"/>
        <v>1.2428301903089944E-3</v>
      </c>
    </row>
    <row r="29" spans="1:7" x14ac:dyDescent="0.25">
      <c r="A29" t="s">
        <v>0</v>
      </c>
      <c r="B29" s="1">
        <v>2012</v>
      </c>
      <c r="C29" s="3">
        <v>8280605133</v>
      </c>
      <c r="D29" s="9">
        <f>1845000-10000-625000</f>
        <v>1210000</v>
      </c>
      <c r="E29" s="7">
        <f t="shared" si="1"/>
        <v>1.4612458637568512E-4</v>
      </c>
    </row>
    <row r="30" spans="1:7" x14ac:dyDescent="0.25">
      <c r="A30" t="s">
        <v>1</v>
      </c>
      <c r="B30" s="1">
        <v>2012</v>
      </c>
      <c r="C30" s="3">
        <v>7803513258</v>
      </c>
      <c r="D30" s="9">
        <f>1230000-500000-30000</f>
        <v>700000</v>
      </c>
      <c r="E30" s="7">
        <f t="shared" si="1"/>
        <v>8.9703185841630311E-5</v>
      </c>
    </row>
    <row r="31" spans="1:7" x14ac:dyDescent="0.25">
      <c r="A31" t="s">
        <v>1</v>
      </c>
      <c r="B31" s="1">
        <v>2014</v>
      </c>
      <c r="C31" s="3">
        <v>8395058330</v>
      </c>
      <c r="D31" s="9">
        <f>14000000-4000000</f>
        <v>10000000</v>
      </c>
      <c r="E31" s="7">
        <f t="shared" si="1"/>
        <v>1.1911769527871761E-3</v>
      </c>
    </row>
    <row r="32" spans="1:7" x14ac:dyDescent="0.25">
      <c r="A32" t="s">
        <v>1</v>
      </c>
      <c r="B32" s="1">
        <v>2015</v>
      </c>
      <c r="C32" s="3">
        <v>8658232481</v>
      </c>
      <c r="D32" s="9">
        <f>7150000-4000000</f>
        <v>3150000</v>
      </c>
      <c r="E32" s="7">
        <f t="shared" si="1"/>
        <v>3.6381559480095922E-4</v>
      </c>
    </row>
    <row r="33" spans="1:7" x14ac:dyDescent="0.25">
      <c r="A33" t="s">
        <v>0</v>
      </c>
      <c r="B33" s="1">
        <v>2016</v>
      </c>
      <c r="C33" s="3">
        <v>9619185189</v>
      </c>
      <c r="D33" s="9">
        <v>1050000</v>
      </c>
      <c r="E33" s="7">
        <f t="shared" si="1"/>
        <v>1.0915685469916157E-4</v>
      </c>
    </row>
    <row r="34" spans="1:7" x14ac:dyDescent="0.25">
      <c r="A34" t="s">
        <v>1</v>
      </c>
      <c r="B34" s="1">
        <v>2016</v>
      </c>
      <c r="C34" s="3">
        <v>8827415218</v>
      </c>
      <c r="D34" s="9">
        <v>850000</v>
      </c>
      <c r="E34" s="7">
        <f t="shared" si="1"/>
        <v>9.6290927639470651E-5</v>
      </c>
    </row>
    <row r="35" spans="1:7" x14ac:dyDescent="0.25">
      <c r="C35" s="3"/>
      <c r="D35" s="9"/>
      <c r="E35" s="7"/>
    </row>
    <row r="36" spans="1:7" ht="15.75" thickBot="1" x14ac:dyDescent="0.3">
      <c r="A36" t="s">
        <v>7</v>
      </c>
      <c r="D36" s="11">
        <f>SUM(D20:D35)</f>
        <v>38615000</v>
      </c>
      <c r="G36" s="6"/>
    </row>
    <row r="37" spans="1:7" ht="15.75" thickTop="1" x14ac:dyDescent="0.25"/>
    <row r="38" spans="1:7" x14ac:dyDescent="0.25">
      <c r="D38" s="6"/>
    </row>
    <row r="39" spans="1:7" x14ac:dyDescent="0.25">
      <c r="A39" t="s">
        <v>29</v>
      </c>
    </row>
    <row r="40" spans="1:7" x14ac:dyDescent="0.25">
      <c r="D40" s="6"/>
    </row>
  </sheetData>
  <pageMargins left="0.7" right="0.2" top="1.25" bottom="0.75" header="0.3" footer="0.3"/>
  <pageSetup scale="110"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workbookViewId="0"/>
  </sheetViews>
  <sheetFormatPr defaultRowHeight="15" x14ac:dyDescent="0.25"/>
  <cols>
    <col min="1" max="1" width="21.5703125" customWidth="1"/>
    <col min="2" max="2" width="9" style="1" bestFit="1" customWidth="1"/>
    <col min="3" max="3" width="18" bestFit="1" customWidth="1"/>
    <col min="4" max="4" width="16.5703125" bestFit="1" customWidth="1"/>
    <col min="5" max="5" width="18.5703125" customWidth="1"/>
    <col min="6" max="6" width="4.7109375" customWidth="1"/>
    <col min="7" max="7" width="12.5703125" bestFit="1" customWidth="1"/>
  </cols>
  <sheetData>
    <row r="1" spans="1:5" x14ac:dyDescent="0.25">
      <c r="A1" s="8" t="s">
        <v>12</v>
      </c>
    </row>
    <row r="2" spans="1:5" x14ac:dyDescent="0.25">
      <c r="A2" s="8"/>
      <c r="B2" s="18" t="s">
        <v>10</v>
      </c>
      <c r="C2" s="18" t="s">
        <v>0</v>
      </c>
      <c r="D2" s="18" t="s">
        <v>1</v>
      </c>
      <c r="E2" s="18" t="s">
        <v>7</v>
      </c>
    </row>
    <row r="3" spans="1:5" x14ac:dyDescent="0.25">
      <c r="A3" s="13" t="s">
        <v>13</v>
      </c>
      <c r="B3" s="21">
        <v>2016</v>
      </c>
      <c r="C3" s="23">
        <v>1000000</v>
      </c>
      <c r="D3" s="16"/>
      <c r="E3" s="26">
        <v>1000000</v>
      </c>
    </row>
    <row r="4" spans="1:5" x14ac:dyDescent="0.25">
      <c r="A4" s="15" t="s">
        <v>14</v>
      </c>
      <c r="B4" s="22">
        <v>2016</v>
      </c>
      <c r="C4" s="24">
        <v>50000</v>
      </c>
      <c r="D4" s="25">
        <v>850000</v>
      </c>
      <c r="E4" s="25">
        <v>900000</v>
      </c>
    </row>
    <row r="5" spans="1:5" x14ac:dyDescent="0.25">
      <c r="A5" s="15"/>
      <c r="B5" s="15"/>
      <c r="C5" s="15"/>
      <c r="D5" s="25"/>
      <c r="E5" s="25"/>
    </row>
    <row r="6" spans="1:5" x14ac:dyDescent="0.25">
      <c r="A6" s="13" t="s">
        <v>8</v>
      </c>
      <c r="B6" s="13"/>
      <c r="C6" s="23">
        <v>1050000</v>
      </c>
      <c r="D6" s="26">
        <f>SUM(D3:D5)</f>
        <v>850000</v>
      </c>
      <c r="E6" s="26">
        <f>SUM(E3:E5)</f>
        <v>1900000</v>
      </c>
    </row>
    <row r="7" spans="1:5" x14ac:dyDescent="0.25">
      <c r="A7" s="14"/>
      <c r="B7" s="15"/>
      <c r="C7" s="15"/>
      <c r="D7" s="15"/>
      <c r="E7" s="15"/>
    </row>
    <row r="8" spans="1:5" x14ac:dyDescent="0.25">
      <c r="A8" s="13" t="s">
        <v>9</v>
      </c>
      <c r="B8" s="13"/>
      <c r="C8" s="20">
        <f>C6/C10</f>
        <v>1.0915685469916157E-4</v>
      </c>
      <c r="D8" s="20">
        <f>D6/D10</f>
        <v>9.6290927639470651E-5</v>
      </c>
      <c r="E8" s="19"/>
    </row>
    <row r="9" spans="1:5" x14ac:dyDescent="0.25">
      <c r="A9" s="14"/>
      <c r="B9" s="15"/>
      <c r="C9" s="17"/>
      <c r="D9" s="17"/>
      <c r="E9" s="17"/>
    </row>
    <row r="10" spans="1:5" ht="24" x14ac:dyDescent="0.25">
      <c r="A10" s="13" t="s">
        <v>16</v>
      </c>
      <c r="B10" s="13"/>
      <c r="C10" s="16">
        <v>9619185189</v>
      </c>
      <c r="D10" s="16">
        <v>8827415218</v>
      </c>
      <c r="E10" s="16">
        <f>SUM(C10:D10)</f>
        <v>18446600407</v>
      </c>
    </row>
    <row r="12" spans="1:5" x14ac:dyDescent="0.25">
      <c r="A12" s="8" t="s">
        <v>17</v>
      </c>
    </row>
    <row r="14" spans="1:5" x14ac:dyDescent="0.25">
      <c r="A14" t="s">
        <v>11</v>
      </c>
      <c r="B14" s="1">
        <v>2007</v>
      </c>
      <c r="D14" s="3">
        <v>300000</v>
      </c>
      <c r="E14" s="3">
        <v>300000</v>
      </c>
    </row>
    <row r="17" spans="1:7" x14ac:dyDescent="0.25">
      <c r="A17" s="10" t="s">
        <v>15</v>
      </c>
      <c r="B17" s="4"/>
      <c r="C17" s="5"/>
      <c r="D17" s="5"/>
      <c r="E17" s="5"/>
      <c r="F17" s="5"/>
    </row>
    <row r="18" spans="1:7" x14ac:dyDescent="0.25">
      <c r="A18" s="8" t="s">
        <v>6</v>
      </c>
      <c r="B18" s="2" t="s">
        <v>2</v>
      </c>
      <c r="C18" s="2" t="s">
        <v>3</v>
      </c>
      <c r="D18" s="2" t="s">
        <v>4</v>
      </c>
      <c r="E18" s="2" t="s">
        <v>5</v>
      </c>
      <c r="F18" s="2"/>
    </row>
    <row r="19" spans="1:7" x14ac:dyDescent="0.25">
      <c r="A19" t="s">
        <v>1</v>
      </c>
      <c r="B19" s="1">
        <v>1984</v>
      </c>
      <c r="C19" s="3">
        <v>1913262673</v>
      </c>
      <c r="D19" s="3">
        <v>700000</v>
      </c>
      <c r="E19" s="7">
        <f>D19/C19</f>
        <v>3.6586717018965227E-4</v>
      </c>
    </row>
    <row r="20" spans="1:7" x14ac:dyDescent="0.25">
      <c r="A20" t="s">
        <v>1</v>
      </c>
      <c r="B20" s="1">
        <v>1987</v>
      </c>
      <c r="C20" s="3">
        <v>3554259096</v>
      </c>
      <c r="D20" s="3">
        <v>1000000</v>
      </c>
      <c r="E20" s="7">
        <f t="shared" ref="E20:E32" si="0">D20/C20</f>
        <v>2.8135258938365252E-4</v>
      </c>
    </row>
    <row r="21" spans="1:7" x14ac:dyDescent="0.25">
      <c r="A21" t="s">
        <v>1</v>
      </c>
      <c r="B21" s="1">
        <v>1995</v>
      </c>
      <c r="C21" s="3">
        <v>3971480219</v>
      </c>
      <c r="D21" s="3">
        <v>1000000</v>
      </c>
      <c r="E21" s="7">
        <f t="shared" si="0"/>
        <v>2.5179528660772109E-4</v>
      </c>
    </row>
    <row r="22" spans="1:7" x14ac:dyDescent="0.25">
      <c r="A22" t="s">
        <v>1</v>
      </c>
      <c r="B22" s="1">
        <v>2002</v>
      </c>
      <c r="C22" s="3">
        <v>5573594096</v>
      </c>
      <c r="D22" s="3">
        <f>10465000-7250000-50000-85000-100000</f>
        <v>2980000</v>
      </c>
      <c r="E22" s="7">
        <f t="shared" si="0"/>
        <v>5.3466397959238833E-4</v>
      </c>
    </row>
    <row r="23" spans="1:7" x14ac:dyDescent="0.25">
      <c r="A23" t="s">
        <v>1</v>
      </c>
      <c r="B23" s="1">
        <v>2003</v>
      </c>
      <c r="C23" s="3">
        <v>6139331564</v>
      </c>
      <c r="D23" s="3">
        <f>5850000-350000</f>
        <v>5500000</v>
      </c>
      <c r="E23" s="7">
        <f t="shared" si="0"/>
        <v>8.9586300115326368E-4</v>
      </c>
    </row>
    <row r="24" spans="1:7" x14ac:dyDescent="0.25">
      <c r="A24" t="s">
        <v>0</v>
      </c>
      <c r="B24" s="1">
        <v>2003</v>
      </c>
      <c r="C24" s="3">
        <v>8030746898</v>
      </c>
      <c r="D24" s="3">
        <v>25000</v>
      </c>
      <c r="E24" s="7">
        <f t="shared" si="0"/>
        <v>3.1130354769649222E-6</v>
      </c>
      <c r="G24" s="3"/>
    </row>
    <row r="25" spans="1:7" x14ac:dyDescent="0.25">
      <c r="A25" t="s">
        <v>0</v>
      </c>
      <c r="B25" s="1">
        <v>2005</v>
      </c>
      <c r="C25" s="3">
        <v>8369113789</v>
      </c>
      <c r="D25" s="3">
        <v>1200000</v>
      </c>
      <c r="E25" s="7">
        <f t="shared" si="0"/>
        <v>1.4338435708416677E-4</v>
      </c>
      <c r="G25" s="3"/>
    </row>
    <row r="26" spans="1:7" x14ac:dyDescent="0.25">
      <c r="A26" t="s">
        <v>1</v>
      </c>
      <c r="B26" s="1">
        <v>2005</v>
      </c>
      <c r="C26" s="3">
        <v>6785549829</v>
      </c>
      <c r="D26" s="3">
        <f>750000-500000</f>
        <v>250000</v>
      </c>
      <c r="E26" s="7">
        <f t="shared" si="0"/>
        <v>3.6842998179978435E-5</v>
      </c>
    </row>
    <row r="27" spans="1:7" x14ac:dyDescent="0.25">
      <c r="A27" t="s">
        <v>1</v>
      </c>
      <c r="B27" s="1">
        <v>2007</v>
      </c>
      <c r="C27" s="3">
        <v>7241536350</v>
      </c>
      <c r="D27" s="3">
        <f>12800000-1500000-1000000-1000000</f>
        <v>9300000</v>
      </c>
      <c r="E27" s="7">
        <f t="shared" si="0"/>
        <v>1.2842578633192941E-3</v>
      </c>
    </row>
    <row r="28" spans="1:7" x14ac:dyDescent="0.25">
      <c r="A28" t="s">
        <v>1</v>
      </c>
      <c r="B28" s="1">
        <v>2011</v>
      </c>
      <c r="C28" s="3">
        <v>7321768374</v>
      </c>
      <c r="D28" s="3">
        <v>4000000</v>
      </c>
      <c r="E28" s="7">
        <f t="shared" si="0"/>
        <v>5.4631610775946133E-4</v>
      </c>
    </row>
    <row r="29" spans="1:7" x14ac:dyDescent="0.25">
      <c r="A29" t="s">
        <v>0</v>
      </c>
      <c r="B29" s="1">
        <v>2012</v>
      </c>
      <c r="C29" s="3">
        <v>8280605133</v>
      </c>
      <c r="D29" s="9">
        <f>1845000-10000-625000</f>
        <v>1210000</v>
      </c>
      <c r="E29" s="7">
        <f t="shared" si="0"/>
        <v>1.4612458637568512E-4</v>
      </c>
    </row>
    <row r="30" spans="1:7" x14ac:dyDescent="0.25">
      <c r="A30" t="s">
        <v>1</v>
      </c>
      <c r="B30" s="1">
        <v>2012</v>
      </c>
      <c r="C30" s="3">
        <v>7803513258</v>
      </c>
      <c r="D30" s="9">
        <f>1230000-500000-30000</f>
        <v>700000</v>
      </c>
      <c r="E30" s="7">
        <f t="shared" si="0"/>
        <v>8.9703185841630311E-5</v>
      </c>
    </row>
    <row r="31" spans="1:7" x14ac:dyDescent="0.25">
      <c r="A31" t="s">
        <v>1</v>
      </c>
      <c r="B31" s="1">
        <v>2014</v>
      </c>
      <c r="C31" s="3">
        <v>8395058330</v>
      </c>
      <c r="D31" s="9">
        <v>14000000</v>
      </c>
      <c r="E31" s="7">
        <f t="shared" si="0"/>
        <v>1.6676477339020467E-3</v>
      </c>
    </row>
    <row r="32" spans="1:7" x14ac:dyDescent="0.25">
      <c r="A32" t="s">
        <v>1</v>
      </c>
      <c r="B32" s="1">
        <v>2015</v>
      </c>
      <c r="C32" s="3">
        <v>8658232481</v>
      </c>
      <c r="D32" s="12">
        <v>7150000</v>
      </c>
      <c r="E32" s="7">
        <f t="shared" si="0"/>
        <v>8.2580365169106619E-4</v>
      </c>
    </row>
    <row r="33" spans="1:7" x14ac:dyDescent="0.25">
      <c r="C33" s="3"/>
      <c r="D33" s="9"/>
      <c r="E33" s="7"/>
    </row>
    <row r="34" spans="1:7" ht="15.75" thickBot="1" x14ac:dyDescent="0.3">
      <c r="A34" t="s">
        <v>7</v>
      </c>
      <c r="D34" s="11">
        <f>SUM(D19:D33)</f>
        <v>49015000</v>
      </c>
      <c r="G34" s="6"/>
    </row>
    <row r="35" spans="1:7" ht="15.75" thickTop="1" x14ac:dyDescent="0.25"/>
    <row r="36" spans="1:7" x14ac:dyDescent="0.25">
      <c r="D36" s="6"/>
    </row>
    <row r="37" spans="1:7" x14ac:dyDescent="0.25">
      <c r="A37" t="s">
        <v>18</v>
      </c>
    </row>
    <row r="38" spans="1:7" x14ac:dyDescent="0.25">
      <c r="D38" s="6"/>
    </row>
  </sheetData>
  <sortState xmlns:xlrd2="http://schemas.microsoft.com/office/spreadsheetml/2017/richdata2" ref="A20:E27">
    <sortCondition ref="A20:A27"/>
  </sortState>
  <pageMargins left="0.7" right="0.2" top="1.25" bottom="0.75" header="0.3" footer="0.3"/>
  <pageSetup scale="11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PC52</dc:creator>
  <cp:lastModifiedBy>PC61</cp:lastModifiedBy>
  <cp:lastPrinted>2022-12-12T20:07:34Z</cp:lastPrinted>
  <dcterms:created xsi:type="dcterms:W3CDTF">2010-11-17T20:50:32Z</dcterms:created>
  <dcterms:modified xsi:type="dcterms:W3CDTF">2024-12-06T14:35:22Z</dcterms:modified>
</cp:coreProperties>
</file>